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.4" sheetId="1" r:id="rId1"/>
  </sheets>
  <definedNames>
    <definedName name="_xlnm._FilterDatabase" localSheetId="0" hidden="1">'Прил.4'!$A$8:$L$476</definedName>
    <definedName name="_xlnm.Print_Area" localSheetId="0">'Прил.4'!$A$1:$L$476</definedName>
  </definedNames>
  <calcPr fullCalcOnLoad="1"/>
</workbook>
</file>

<file path=xl/sharedStrings.xml><?xml version="1.0" encoding="utf-8"?>
<sst xmlns="http://schemas.openxmlformats.org/spreadsheetml/2006/main" count="1088" uniqueCount="463">
  <si>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</si>
  <si>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</si>
  <si>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</si>
  <si>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</si>
  <si>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</si>
  <si>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</si>
  <si>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</si>
  <si>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</si>
  <si>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</si>
  <si>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</si>
  <si>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</si>
  <si>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</si>
  <si>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</si>
  <si>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</si>
  <si>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</si>
  <si>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</si>
  <si>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</si>
  <si>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</si>
  <si>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</si>
  <si>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</si>
  <si>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</si>
  <si>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</si>
  <si>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</si>
  <si>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</si>
  <si>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</si>
  <si>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</si>
  <si>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</si>
  <si>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</si>
  <si>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</si>
  <si>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</si>
  <si>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</si>
  <si>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</si>
  <si>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</si>
  <si>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</si>
  <si>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</si>
  <si>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</si>
  <si>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</si>
  <si>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</si>
  <si>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</si>
  <si>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</si>
  <si>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</si>
  <si>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</si>
  <si>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</si>
  <si>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</si>
  <si>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</si>
  <si>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</si>
  <si>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</si>
  <si>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</si>
  <si>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</si>
  <si>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</si>
  <si>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</si>
  <si>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</si>
  <si>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</si>
  <si>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</si>
  <si>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</si>
  <si>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</si>
  <si>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</si>
  <si>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</si>
  <si>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</si>
  <si>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</si>
  <si>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</si>
  <si>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</si>
  <si>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</si>
  <si>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</si>
  <si>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</si>
  <si>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</si>
  <si>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</si>
  <si>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</si>
  <si>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</si>
  <si>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</si>
  <si>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</si>
  <si>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</si>
  <si>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</si>
  <si>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</si>
  <si>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</si>
  <si>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</si>
  <si>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</si>
  <si>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</si>
  <si>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</si>
  <si>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</si>
  <si>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</si>
  <si>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</si>
  <si>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</si>
  <si>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</si>
  <si>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</si>
  <si>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</si>
  <si>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</si>
  <si>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</si>
  <si>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</si>
  <si>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</si>
  <si>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</si>
  <si>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</si>
  <si>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</si>
  <si>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</si>
  <si>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</si>
  <si>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</si>
  <si>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</si>
  <si>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</si>
  <si>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</si>
  <si>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</si>
  <si>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</si>
  <si>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</si>
  <si>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</si>
  <si>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</si>
  <si>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</si>
  <si>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</si>
  <si>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</si>
  <si>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</si>
  <si>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</si>
  <si>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</si>
  <si>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</si>
  <si>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</si>
  <si>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</si>
  <si>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</si>
  <si>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</si>
  <si>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</si>
  <si>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</si>
  <si>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</si>
  <si>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</si>
  <si>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</si>
  <si>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</si>
  <si>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</si>
  <si>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</si>
  <si>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</si>
  <si>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</si>
  <si>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</si>
  <si>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</si>
  <si>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</si>
  <si>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</si>
  <si>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</si>
  <si>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</si>
  <si>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</si>
  <si>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</si>
  <si>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</si>
  <si>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</si>
  <si>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</si>
  <si>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</si>
  <si>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</si>
  <si>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</si>
  <si>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</si>
  <si>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</si>
  <si>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</si>
  <si>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</si>
  <si>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</si>
  <si>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</si>
  <si>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</si>
  <si>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</si>
  <si>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</si>
  <si>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</si>
  <si>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</si>
  <si>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</si>
  <si>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</si>
  <si>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</si>
  <si>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</si>
  <si>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</si>
  <si>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</si>
  <si>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</si>
  <si>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</si>
  <si>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</si>
  <si>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</si>
  <si>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</si>
  <si>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</si>
  <si>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</si>
  <si>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</si>
  <si>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</si>
  <si>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</si>
  <si>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</si>
  <si>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</si>
  <si>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</si>
  <si>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</si>
  <si>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</si>
  <si>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</si>
  <si>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</si>
  <si>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</si>
  <si>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</si>
  <si>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</si>
  <si>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</si>
  <si>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</si>
  <si>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</si>
  <si>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</si>
  <si>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</si>
  <si>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1200020000</t>
  </si>
  <si>
    <t>1200023100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</si>
  <si>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</si>
  <si>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</si>
  <si>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</si>
  <si>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</si>
  <si>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</si>
  <si>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</si>
  <si>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</si>
  <si>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>1500022200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</si>
  <si>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</si>
  <si>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</si>
  <si>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</si>
  <si>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</si>
  <si>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</si>
  <si>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</si>
  <si>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</si>
  <si>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</si>
  <si>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</si>
  <si>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</si>
  <si>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</si>
  <si>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</si>
  <si>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</si>
  <si>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</si>
  <si>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</si>
  <si>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</si>
  <si>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</si>
  <si>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</si>
  <si>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</si>
  <si>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</si>
  <si>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</si>
  <si>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</si>
  <si>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1800249100</t>
  </si>
  <si>
    <t>1800149200</t>
  </si>
  <si>
    <t>1900000000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</si>
  <si>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</si>
  <si>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</si>
  <si>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</si>
  <si>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</si>
  <si>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</si>
  <si>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</si>
  <si>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</si>
  <si>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</si>
  <si>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</si>
  <si>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</si>
  <si>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</si>
  <si>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</si>
  <si>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</si>
  <si>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</si>
  <si>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</si>
  <si>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</si>
  <si>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</si>
  <si>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</si>
  <si>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</si>
  <si>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</si>
  <si>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</si>
  <si>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</si>
  <si>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</si>
  <si>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</si>
  <si>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</si>
  <si>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</si>
  <si>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</si>
  <si>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</si>
  <si>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</si>
  <si>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</si>
  <si>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</si>
  <si>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</si>
  <si>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</si>
  <si>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</si>
  <si>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</si>
  <si>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</si>
  <si>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</si>
  <si>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</si>
  <si>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</si>
  <si>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</si>
  <si>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</si>
  <si>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</si>
  <si>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</si>
  <si>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</si>
  <si>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</si>
  <si>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</si>
  <si>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</si>
  <si>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</si>
  <si>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</si>
  <si>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</si>
  <si>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</si>
  <si>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</si>
  <si>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</si>
  <si>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</si>
  <si>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</si>
  <si>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</si>
  <si>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</si>
  <si>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</si>
  <si>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</si>
  <si>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</si>
  <si>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</si>
  <si>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</si>
  <si>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</si>
  <si>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</si>
  <si>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</si>
  <si>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</si>
  <si>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</si>
  <si>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</si>
  <si>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</si>
  <si>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</si>
  <si>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</si>
  <si>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</si>
  <si>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</si>
  <si>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</si>
  <si>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</si>
  <si>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</si>
  <si>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</si>
  <si>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</si>
  <si>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</si>
  <si>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</si>
  <si>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</si>
  <si>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</si>
  <si>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</si>
  <si>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</si>
  <si>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</si>
  <si>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</si>
  <si>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</si>
  <si>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</si>
  <si>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0600222406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</si>
  <si>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</si>
  <si>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</si>
  <si>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</si>
  <si>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</si>
  <si>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</si>
  <si>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</si>
  <si>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</si>
  <si>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</si>
  <si>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</si>
  <si>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</si>
  <si>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</si>
  <si>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</si>
  <si>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</si>
  <si>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</si>
  <si>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</si>
  <si>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</si>
  <si>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</si>
  <si>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</si>
  <si>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</si>
  <si>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</si>
  <si>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</si>
  <si>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</si>
  <si>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</si>
  <si>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</si>
  <si>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</si>
  <si>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</si>
  <si>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</si>
  <si>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</si>
  <si>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</si>
  <si>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</si>
  <si>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</si>
  <si>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</si>
  <si>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</si>
  <si>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</si>
  <si>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</si>
  <si>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</si>
  <si>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</si>
  <si>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</si>
  <si>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</si>
  <si>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</si>
  <si>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</si>
  <si>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</si>
  <si>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</si>
  <si>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Стабилизация и снижение заболеваемости и смертности от туберкулёза в Махнёвском муниципальном образовании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</si>
  <si>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</si>
  <si>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</si>
  <si>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</si>
  <si>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</si>
  <si>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</si>
  <si>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</si>
  <si>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0700225300</t>
  </si>
  <si>
    <t>0700325300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</si>
  <si>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</si>
  <si>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</si>
  <si>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А.В.</t>
  </si>
  <si>
    <t>Лызлов</t>
  </si>
  <si>
    <t>0200620006</t>
  </si>
  <si>
    <t>Проведение работ по описанию местоположения границ территориальных зон</t>
  </si>
  <si>
    <t xml:space="preserve">Проведение работ по описанию местоположения границ населенных пунктов 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</si>
  <si>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</si>
  <si>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</si>
  <si>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</si>
  <si>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</si>
  <si>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</si>
  <si>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2600343800</t>
  </si>
  <si>
    <t>2600000000</t>
  </si>
  <si>
    <t>Обеспечение оплаты труда работников муниципальных учреждений в размере не ниже МРОТ</t>
  </si>
  <si>
    <t>1601040600</t>
  </si>
  <si>
    <t>0700640600</t>
  </si>
  <si>
    <t>Материальный ущерб  по Постановлениям  УФССП по Свердловской области (стимулирование МО)</t>
  </si>
  <si>
    <t>Исполнительский сбор по Постановленниям  УФССП по Свердловской области (стимулирование МО)</t>
  </si>
  <si>
    <t>Уплата налогов, сборов и иных платежей</t>
  </si>
  <si>
    <t>7001640500</t>
  </si>
  <si>
    <t>7001740500</t>
  </si>
  <si>
    <t>Реконструкция и модернизация объектов коммунальной инфраструктуры (стимулирование МО)</t>
  </si>
  <si>
    <t>1300340500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</si>
  <si>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</si>
  <si>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1600440500</t>
  </si>
  <si>
    <t xml:space="preserve">Прочие мероприятия по благоустройству территории (стимулирование МО)  </t>
  </si>
  <si>
    <t>1301340500</t>
  </si>
  <si>
    <t>Организация обслуживания уличного освещения (стимулирование МО)</t>
  </si>
  <si>
    <t>1301140500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</si>
  <si>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</si>
  <si>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</si>
  <si>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Осуществление обслуживания органов местного самоуправления (стимулирование МО)</t>
  </si>
  <si>
    <t>0100140500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</si>
  <si>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</si>
  <si>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>0100640500</t>
  </si>
  <si>
    <t>234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</si>
  <si>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</si>
  <si>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</si>
  <si>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>0700248Г00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</si>
  <si>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</si>
  <si>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</si>
  <si>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t>0900620106</t>
  </si>
  <si>
    <t>1301523300</t>
  </si>
  <si>
    <t>Разработка проектной документации на строительство и реконструкцию жилищного фонда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</si>
  <si>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</si>
  <si>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0700348300</t>
  </si>
  <si>
    <t>244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</si>
  <si>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</si>
  <si>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</si>
  <si>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</si>
  <si>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</si>
  <si>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Исполнение муниципальных гарантий</t>
  </si>
  <si>
    <t>7000721104</t>
  </si>
  <si>
    <t>843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</si>
  <si>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</si>
  <si>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0200543900</t>
  </si>
  <si>
    <t xml:space="preserve">Предоставление муниципальных гарантий </t>
  </si>
  <si>
    <t>Разработка программы комплексного развития транспортной инфраструктуры Махнёвского МО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</si>
  <si>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</si>
  <si>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</si>
  <si>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</si>
  <si>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</si>
  <si>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</si>
  <si>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</si>
  <si>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</si>
  <si>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</si>
  <si>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</si>
  <si>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</si>
  <si>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</si>
  <si>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</si>
  <si>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</si>
  <si>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</si>
  <si>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</si>
  <si>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</si>
  <si>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               на 2014-2021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</si>
  <si>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</si>
  <si>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</si>
  <si>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</si>
  <si>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"Формирование современной городской среды  на 2018-2022 годы"</t>
  </si>
  <si>
    <t>17001L5190</t>
  </si>
  <si>
    <t xml:space="preserve">Субсидии на реализацию мер по обеспечению целевых показателей, установленных Указами Президента Российской Федерации   по повышению оплаты труда работников бюджетной сферы, в муниципальных учреждениях культуры в 2018 году </t>
  </si>
  <si>
    <t>1700246500</t>
  </si>
  <si>
    <t>1700346500</t>
  </si>
  <si>
    <t xml:space="preserve">Иные межбюджетные трансферты на приобретение спортивного оборудования </t>
  </si>
  <si>
    <t>0700340700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</si>
  <si>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</si>
  <si>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</si>
  <si>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</si>
  <si>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</si>
  <si>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1700146500</t>
  </si>
  <si>
    <t>Исполненно за   2018 год</t>
  </si>
  <si>
    <t>Утвержденные бюджетные назначения с учетом уточнения на 2018 год, тыс. руб.</t>
  </si>
  <si>
    <t>Сумма средств, предусмотренная на 2018 год  решением Думы о бюджете, в тыс. руб.</t>
  </si>
  <si>
    <t>Приложение № 4</t>
  </si>
  <si>
    <t>11737,1</t>
  </si>
  <si>
    <t>0</t>
  </si>
  <si>
    <t>1600900000</t>
  </si>
  <si>
    <r>
      <t>Муниципальная программа</t>
    </r>
    <r>
      <rPr>
        <sz val="10.5"/>
        <rFont val="Liberation Serif"/>
        <family val="1"/>
      </rPr>
      <t xml:space="preserve"> </t>
    </r>
    <r>
      <rPr>
        <b/>
        <sz val="10.5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</si>
  <si>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Liberation Serif"/>
        <family val="1"/>
      </rPr>
      <t xml:space="preserve"> </t>
    </r>
  </si>
  <si>
    <r>
      <t xml:space="preserve">Капитальный ремонт дорог общего пользования местного значения </t>
    </r>
    <r>
      <rPr>
        <b/>
        <sz val="10.5"/>
        <rFont val="Liberation Serif"/>
        <family val="1"/>
      </rPr>
      <t>(обустройство пешеходных переходов вблизи образовательных учреждений)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</si>
  <si>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.5"/>
        <rFont val="Liberation Serif"/>
        <family val="1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</si>
  <si>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.5"/>
        <color indexed="8"/>
        <rFont val="Liberation Serif"/>
        <family val="1"/>
      </rPr>
      <t>финансового</t>
    </r>
    <r>
      <rPr>
        <b/>
        <sz val="10.5"/>
        <rFont val="Liberation Serif"/>
        <family val="1"/>
      </rPr>
      <t xml:space="preserve"> (</t>
    </r>
    <r>
      <rPr>
        <b/>
        <sz val="10.5"/>
        <color indexed="8"/>
        <rFont val="Liberation Serif"/>
        <family val="1"/>
      </rPr>
      <t xml:space="preserve">финансово-бюджетного) </t>
    </r>
    <r>
      <rPr>
        <b/>
        <sz val="10.5"/>
        <rFont val="Liberation Serif"/>
        <family val="1"/>
      </rPr>
      <t>надзора</t>
    </r>
  </si>
  <si>
    <t xml:space="preserve">Информация об исполнении ведомственной структуры расходов бюджета Махнёвского муниципального образования по главным распорядителям         за  2018 год </t>
  </si>
  <si>
    <t xml:space="preserve">Глава Махнёвского муниципального образования   </t>
  </si>
  <si>
    <t xml:space="preserve">от 23.07.2019   № 428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</si>
</sst>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Liberation Serif"/>
      <family val="1"/>
    </font>
    <font>
      <sz val="12"/>
      <name val="Liberation Serif"/>
      <family val="1"/>
    </font>
    <font>
      <b/>
      <sz val="10.5"/>
      <name val="Liberation Serif"/>
      <family val="1"/>
    </font>
    <font>
      <sz val="10.5"/>
      <name val="Liberation Serif"/>
      <family val="1"/>
    </font>
    <font>
      <b/>
      <i/>
      <sz val="10.5"/>
      <name val="Liberation Serif"/>
      <family val="1"/>
    </font>
    <font>
      <sz val="10.5"/>
      <color indexed="10"/>
      <name val="Liberation Serif"/>
      <family val="1"/>
    </font>
    <font>
      <b/>
      <sz val="10.5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.5"/>
      <color rgb="FF00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8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textRotation="90" wrapText="1"/>
    </xf>
    <xf numFmtId="2" fontId="11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2" fontId="12" fillId="0" borderId="11" xfId="0" applyNumberFormat="1" applyFont="1" applyBorder="1" applyAlignment="1">
      <alignment horizontal="center" vertical="center" textRotation="90" wrapText="1"/>
    </xf>
    <xf numFmtId="2" fontId="11" fillId="34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173" fontId="12" fillId="0" borderId="12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1" fillId="34" borderId="10" xfId="0" applyNumberFormat="1" applyFont="1" applyFill="1" applyBorder="1" applyAlignment="1">
      <alignment horizontal="center" vertical="center" wrapText="1" shrinkToFi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 shrinkToFit="1"/>
    </xf>
    <xf numFmtId="173" fontId="11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/>
    </xf>
    <xf numFmtId="173" fontId="1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30" borderId="10" xfId="53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6" fillId="34" borderId="0" xfId="0" applyFont="1" applyFill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56" fillId="0" borderId="0" xfId="0" applyFont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173" fontId="12" fillId="34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 shrinkToFit="1"/>
    </xf>
    <xf numFmtId="0" fontId="56" fillId="34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61" applyNumberFormat="1" applyFont="1" applyBorder="1" applyAlignment="1">
      <alignment horizontal="center" vertical="center"/>
    </xf>
    <xf numFmtId="49" fontId="12" fillId="0" borderId="10" xfId="61" applyNumberFormat="1" applyFont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 wrapText="1"/>
    </xf>
    <xf numFmtId="49" fontId="12" fillId="1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4" fontId="11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/>
    </xf>
    <xf numFmtId="174" fontId="11" fillId="34" borderId="12" xfId="0" applyNumberFormat="1" applyFont="1" applyFill="1" applyBorder="1" applyAlignment="1">
      <alignment horizontal="center" vertical="center"/>
    </xf>
    <xf numFmtId="174" fontId="12" fillId="35" borderId="0" xfId="0" applyNumberFormat="1" applyFont="1" applyFill="1" applyBorder="1" applyAlignment="1">
      <alignment horizontal="center" vertical="center"/>
    </xf>
    <xf numFmtId="174" fontId="12" fillId="0" borderId="0" xfId="0" applyNumberFormat="1" applyFont="1" applyBorder="1" applyAlignment="1">
      <alignment horizontal="center" vertical="center"/>
    </xf>
    <xf numFmtId="174" fontId="11" fillId="35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 vertical="center"/>
    </xf>
    <xf numFmtId="174" fontId="12" fillId="0" borderId="12" xfId="0" applyNumberFormat="1" applyFont="1" applyBorder="1" applyAlignment="1">
      <alignment horizontal="center" vertical="center"/>
    </xf>
    <xf numFmtId="174" fontId="12" fillId="34" borderId="12" xfId="0" applyNumberFormat="1" applyFont="1" applyFill="1" applyBorder="1" applyAlignment="1">
      <alignment horizontal="center" vertical="center"/>
    </xf>
    <xf numFmtId="174" fontId="11" fillId="35" borderId="10" xfId="0" applyNumberFormat="1" applyFont="1" applyFill="1" applyBorder="1" applyAlignment="1">
      <alignment horizontal="center" vertical="center"/>
    </xf>
    <xf numFmtId="174" fontId="11" fillId="35" borderId="0" xfId="0" applyNumberFormat="1" applyFont="1" applyFill="1" applyAlignment="1">
      <alignment horizontal="center" vertical="center"/>
    </xf>
    <xf numFmtId="174" fontId="11" fillId="0" borderId="0" xfId="0" applyNumberFormat="1" applyFont="1" applyAlignment="1">
      <alignment horizontal="center" vertical="center"/>
    </xf>
    <xf numFmtId="174" fontId="12" fillId="35" borderId="0" xfId="0" applyNumberFormat="1" applyFont="1" applyFill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center" vertical="center" wrapText="1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4" borderId="0" xfId="0" applyNumberFormat="1" applyFont="1" applyFill="1" applyAlignment="1">
      <alignment horizontal="center" vertical="center"/>
    </xf>
    <xf numFmtId="174" fontId="12" fillId="34" borderId="0" xfId="0" applyNumberFormat="1" applyFont="1" applyFill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12" fillId="0" borderId="0" xfId="0" applyNumberFormat="1" applyFont="1" applyFill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/>
    </xf>
    <xf numFmtId="174" fontId="11" fillId="35" borderId="11" xfId="0" applyNumberFormat="1" applyFont="1" applyFill="1" applyBorder="1" applyAlignment="1">
      <alignment horizontal="center" vertical="center"/>
    </xf>
    <xf numFmtId="174" fontId="12" fillId="35" borderId="11" xfId="0" applyNumberFormat="1" applyFont="1" applyFill="1" applyBorder="1" applyAlignment="1">
      <alignment horizontal="center" vertical="center"/>
    </xf>
    <xf numFmtId="174" fontId="12" fillId="10" borderId="11" xfId="0" applyNumberFormat="1" applyFont="1" applyFill="1" applyBorder="1" applyAlignment="1">
      <alignment horizontal="center" vertical="center" wrapText="1"/>
    </xf>
    <xf numFmtId="174" fontId="12" fillId="10" borderId="10" xfId="0" applyNumberFormat="1" applyFont="1" applyFill="1" applyBorder="1" applyAlignment="1">
      <alignment horizontal="center" vertical="center"/>
    </xf>
    <xf numFmtId="174" fontId="12" fillId="3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/>
    </xf>
    <xf numFmtId="0" fontId="9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8"/>
  <sheetViews>
    <sheetView tabSelected="1" view="pageBreakPreview" zoomScale="60" workbookViewId="0" topLeftCell="B440">
      <selection activeCell="C4" sqref="C4:L4"/>
    </sheetView>
  </sheetViews>
  <sheetFormatPr defaultColWidth="9.140625" defaultRowHeight="12.75"/>
  <cols>
    <col min="1" max="1" width="4.28125" style="0" customWidth="1"/>
    <col min="2" max="2" width="59.140625" style="6" customWidth="1"/>
    <col min="3" max="3" width="4.57421875" style="3" customWidth="1"/>
    <col min="4" max="4" width="7.7109375" style="7" customWidth="1"/>
    <col min="5" max="5" width="12.421875" style="7" customWidth="1"/>
    <col min="6" max="6" width="6.7109375" style="7" customWidth="1"/>
    <col min="7" max="7" width="17.28125" style="7" customWidth="1"/>
    <col min="8" max="8" width="13.8515625" style="7" customWidth="1"/>
    <col min="9" max="9" width="16.57421875" style="7" customWidth="1"/>
    <col min="10" max="10" width="9.57421875" style="2" hidden="1" customWidth="1"/>
    <col min="11" max="11" width="0" style="0" hidden="1" customWidth="1"/>
    <col min="12" max="12" width="16.57421875" style="1" customWidth="1"/>
  </cols>
  <sheetData>
    <row r="1" spans="1:12" ht="15" customHeight="1">
      <c r="A1" s="10"/>
      <c r="B1" s="11"/>
      <c r="C1" s="134" t="s">
        <v>451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 customHeight="1">
      <c r="A2" s="10"/>
      <c r="B2" s="11"/>
      <c r="C2" s="134" t="s">
        <v>32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7.25" customHeight="1">
      <c r="A3" s="10"/>
      <c r="B3" s="13"/>
      <c r="C3" s="134" t="s">
        <v>55</v>
      </c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2.75" customHeight="1">
      <c r="A4" s="10"/>
      <c r="B4" s="11"/>
      <c r="C4" s="134" t="s">
        <v>462</v>
      </c>
      <c r="D4" s="134"/>
      <c r="E4" s="134"/>
      <c r="F4" s="134"/>
      <c r="G4" s="134"/>
      <c r="H4" s="134"/>
      <c r="I4" s="134"/>
      <c r="J4" s="134"/>
      <c r="K4" s="134"/>
      <c r="L4" s="134"/>
    </row>
    <row r="5" spans="1:12" ht="6" customHeight="1">
      <c r="A5" s="10"/>
      <c r="B5" s="14"/>
      <c r="C5" s="12"/>
      <c r="D5" s="12"/>
      <c r="E5" s="12"/>
      <c r="F5" s="12"/>
      <c r="G5" s="12"/>
      <c r="H5" s="12"/>
      <c r="I5" s="12"/>
      <c r="J5" s="12"/>
      <c r="K5" s="12"/>
      <c r="L5" s="15"/>
    </row>
    <row r="6" spans="1:12" ht="38.25" customHeight="1">
      <c r="A6" s="135" t="s">
        <v>460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20.75" customHeight="1">
      <c r="A7" s="18" t="s">
        <v>0</v>
      </c>
      <c r="B7" s="19" t="s">
        <v>127</v>
      </c>
      <c r="C7" s="20" t="s">
        <v>49</v>
      </c>
      <c r="D7" s="20" t="s">
        <v>1</v>
      </c>
      <c r="E7" s="20" t="s">
        <v>2</v>
      </c>
      <c r="F7" s="20" t="s">
        <v>3</v>
      </c>
      <c r="G7" s="21" t="s">
        <v>450</v>
      </c>
      <c r="H7" s="22" t="s">
        <v>449</v>
      </c>
      <c r="I7" s="21" t="s">
        <v>448</v>
      </c>
      <c r="J7" s="23" t="s">
        <v>50</v>
      </c>
      <c r="K7" s="21" t="s">
        <v>50</v>
      </c>
      <c r="L7" s="21" t="s">
        <v>461</v>
      </c>
    </row>
    <row r="8" spans="1:12" ht="13.5">
      <c r="A8" s="24"/>
      <c r="B8" s="19"/>
      <c r="C8" s="25"/>
      <c r="D8" s="25"/>
      <c r="E8" s="25"/>
      <c r="F8" s="25"/>
      <c r="G8" s="26"/>
      <c r="H8" s="25"/>
      <c r="I8" s="26"/>
      <c r="J8" s="27"/>
      <c r="K8" s="21"/>
      <c r="L8" s="27"/>
    </row>
    <row r="9" spans="1:12" ht="26.25" customHeight="1">
      <c r="A9" s="28">
        <v>1</v>
      </c>
      <c r="B9" s="29" t="s">
        <v>252</v>
      </c>
      <c r="C9" s="28">
        <v>901</v>
      </c>
      <c r="D9" s="28"/>
      <c r="E9" s="28"/>
      <c r="F9" s="30"/>
      <c r="G9" s="98">
        <f>SUM(G10+G79+G85+G131+G204+G263+G268+G337+G368+G413+G427+G432)</f>
        <v>279640.42500000005</v>
      </c>
      <c r="H9" s="99">
        <f>SUM(H10+H79+H85+H131+H204+H263+H268+H337+H368+H413+H427+H432)</f>
        <v>294661.27840000007</v>
      </c>
      <c r="I9" s="98">
        <f>SUM(I10+I79+I85+I131+I204+I263+I268+I337+I368+I413+I427+I432)</f>
        <v>281959.45399999997</v>
      </c>
      <c r="J9" s="100"/>
      <c r="K9" s="101"/>
      <c r="L9" s="99">
        <f>I9/H9*100</f>
        <v>95.68934728411872</v>
      </c>
    </row>
    <row r="10" spans="1:12" ht="13.5">
      <c r="A10" s="28">
        <v>2</v>
      </c>
      <c r="B10" s="19" t="s">
        <v>4</v>
      </c>
      <c r="C10" s="28">
        <v>901</v>
      </c>
      <c r="D10" s="31">
        <v>100</v>
      </c>
      <c r="E10" s="32"/>
      <c r="F10" s="33"/>
      <c r="G10" s="102">
        <f>SUM(G11+G15+G22+G26+G30)</f>
        <v>36954.8</v>
      </c>
      <c r="H10" s="103">
        <f>SUM(H11+H15+H22+H26+H30)</f>
        <v>46173.90566</v>
      </c>
      <c r="I10" s="102">
        <f>SUM(I11+I15+I22+I26+I30)</f>
        <v>44338.08</v>
      </c>
      <c r="J10" s="104"/>
      <c r="K10" s="105"/>
      <c r="L10" s="103">
        <f>I10/H10*100</f>
        <v>96.02410575029535</v>
      </c>
    </row>
    <row r="11" spans="1:12" ht="27">
      <c r="A11" s="28">
        <v>3</v>
      </c>
      <c r="B11" s="19" t="s">
        <v>140</v>
      </c>
      <c r="C11" s="28">
        <v>901</v>
      </c>
      <c r="D11" s="31">
        <v>102</v>
      </c>
      <c r="E11" s="32"/>
      <c r="F11" s="33"/>
      <c r="G11" s="102">
        <f aca="true" t="shared" si="0" ref="G11:I13">SUM(G12)</f>
        <v>1224.1</v>
      </c>
      <c r="H11" s="103">
        <f t="shared" si="0"/>
        <v>1224.1</v>
      </c>
      <c r="I11" s="102">
        <f t="shared" si="0"/>
        <v>1193.44</v>
      </c>
      <c r="J11" s="104"/>
      <c r="K11" s="105"/>
      <c r="L11" s="103">
        <f>SUM(L12)</f>
        <v>97.49530267135039</v>
      </c>
    </row>
    <row r="12" spans="1:12" ht="18.75" customHeight="1">
      <c r="A12" s="28">
        <v>4</v>
      </c>
      <c r="B12" s="19" t="s">
        <v>63</v>
      </c>
      <c r="C12" s="28">
        <v>901</v>
      </c>
      <c r="D12" s="31">
        <v>102</v>
      </c>
      <c r="E12" s="32">
        <v>7000000000</v>
      </c>
      <c r="F12" s="33"/>
      <c r="G12" s="102">
        <f t="shared" si="0"/>
        <v>1224.1</v>
      </c>
      <c r="H12" s="103">
        <f t="shared" si="0"/>
        <v>1224.1</v>
      </c>
      <c r="I12" s="102">
        <f t="shared" si="0"/>
        <v>1193.44</v>
      </c>
      <c r="J12" s="106"/>
      <c r="K12" s="107"/>
      <c r="L12" s="103">
        <f>SUM(L13)</f>
        <v>97.49530267135039</v>
      </c>
    </row>
    <row r="13" spans="1:12" ht="16.5" customHeight="1">
      <c r="A13" s="28">
        <v>5</v>
      </c>
      <c r="B13" s="19" t="s">
        <v>138</v>
      </c>
      <c r="C13" s="28">
        <v>901</v>
      </c>
      <c r="D13" s="31">
        <v>102</v>
      </c>
      <c r="E13" s="32">
        <v>7000121100</v>
      </c>
      <c r="F13" s="33"/>
      <c r="G13" s="102">
        <f t="shared" si="0"/>
        <v>1224.1</v>
      </c>
      <c r="H13" s="103">
        <f t="shared" si="0"/>
        <v>1224.1</v>
      </c>
      <c r="I13" s="102">
        <f t="shared" si="0"/>
        <v>1193.44</v>
      </c>
      <c r="J13" s="106"/>
      <c r="K13" s="107"/>
      <c r="L13" s="103">
        <f>SUM(L14)</f>
        <v>97.49530267135039</v>
      </c>
    </row>
    <row r="14" spans="1:12" ht="27">
      <c r="A14" s="28">
        <v>6</v>
      </c>
      <c r="B14" s="34" t="s">
        <v>248</v>
      </c>
      <c r="C14" s="30">
        <v>901</v>
      </c>
      <c r="D14" s="35">
        <v>102</v>
      </c>
      <c r="E14" s="33">
        <v>7000121100</v>
      </c>
      <c r="F14" s="33">
        <v>120</v>
      </c>
      <c r="G14" s="108">
        <v>1224.1</v>
      </c>
      <c r="H14" s="109">
        <v>1224.1</v>
      </c>
      <c r="I14" s="108">
        <v>1193.44</v>
      </c>
      <c r="J14" s="104"/>
      <c r="K14" s="105"/>
      <c r="L14" s="109">
        <f>I14/H14*100</f>
        <v>97.49530267135039</v>
      </c>
    </row>
    <row r="15" spans="1:12" ht="45.75" customHeight="1">
      <c r="A15" s="28">
        <v>7</v>
      </c>
      <c r="B15" s="19" t="s">
        <v>29</v>
      </c>
      <c r="C15" s="28">
        <v>901</v>
      </c>
      <c r="D15" s="36">
        <v>104</v>
      </c>
      <c r="E15" s="37"/>
      <c r="F15" s="38"/>
      <c r="G15" s="99">
        <f>SUM(G16)</f>
        <v>15005.1</v>
      </c>
      <c r="H15" s="110">
        <f>H16</f>
        <v>14200.883999999998</v>
      </c>
      <c r="I15" s="99">
        <f>SUM(I16)</f>
        <v>14015.4</v>
      </c>
      <c r="J15" s="111"/>
      <c r="K15" s="112"/>
      <c r="L15" s="110">
        <f>L16</f>
        <v>98.69385595995293</v>
      </c>
    </row>
    <row r="16" spans="1:12" ht="36.75" customHeight="1">
      <c r="A16" s="28">
        <v>8</v>
      </c>
      <c r="B16" s="19" t="s">
        <v>63</v>
      </c>
      <c r="C16" s="28">
        <v>901</v>
      </c>
      <c r="D16" s="36">
        <v>104</v>
      </c>
      <c r="E16" s="37" t="s">
        <v>143</v>
      </c>
      <c r="F16" s="38"/>
      <c r="G16" s="99">
        <f>SUM(G17+G20)</f>
        <v>15005.1</v>
      </c>
      <c r="H16" s="110">
        <f>SUM(H17+H20)</f>
        <v>14200.883999999998</v>
      </c>
      <c r="I16" s="99">
        <f>SUM(I17+I20)</f>
        <v>14015.4</v>
      </c>
      <c r="J16" s="111"/>
      <c r="K16" s="112"/>
      <c r="L16" s="110">
        <f>I16/H16*100</f>
        <v>98.69385595995293</v>
      </c>
    </row>
    <row r="17" spans="1:12" ht="36.75" customHeight="1">
      <c r="A17" s="28">
        <v>9</v>
      </c>
      <c r="B17" s="19" t="s">
        <v>64</v>
      </c>
      <c r="C17" s="28">
        <v>901</v>
      </c>
      <c r="D17" s="36">
        <v>104</v>
      </c>
      <c r="E17" s="37" t="s">
        <v>142</v>
      </c>
      <c r="F17" s="38"/>
      <c r="G17" s="99">
        <f>SUM(G18+G19)</f>
        <v>11737.1</v>
      </c>
      <c r="H17" s="110">
        <f>SUM(H18:H19)</f>
        <v>10739.099999999999</v>
      </c>
      <c r="I17" s="99">
        <f>SUM(I18+I19)</f>
        <v>10574.5</v>
      </c>
      <c r="J17" s="113"/>
      <c r="K17" s="114"/>
      <c r="L17" s="110">
        <f>I17/H17*100</f>
        <v>98.46728310566064</v>
      </c>
    </row>
    <row r="18" spans="1:12" ht="27">
      <c r="A18" s="28">
        <v>10</v>
      </c>
      <c r="B18" s="34" t="s">
        <v>248</v>
      </c>
      <c r="C18" s="30">
        <v>901</v>
      </c>
      <c r="D18" s="39">
        <v>104</v>
      </c>
      <c r="E18" s="38" t="s">
        <v>142</v>
      </c>
      <c r="F18" s="38" t="s">
        <v>43</v>
      </c>
      <c r="G18" s="115" t="s">
        <v>452</v>
      </c>
      <c r="H18" s="100">
        <v>10733.3</v>
      </c>
      <c r="I18" s="115">
        <v>10568.7</v>
      </c>
      <c r="J18" s="113"/>
      <c r="K18" s="114"/>
      <c r="L18" s="100">
        <f>I18/H18*100</f>
        <v>98.46645486476667</v>
      </c>
    </row>
    <row r="19" spans="1:12" ht="19.5" customHeight="1">
      <c r="A19" s="28">
        <v>11</v>
      </c>
      <c r="B19" s="40" t="s">
        <v>237</v>
      </c>
      <c r="C19" s="30">
        <v>901</v>
      </c>
      <c r="D19" s="39">
        <v>104</v>
      </c>
      <c r="E19" s="38" t="s">
        <v>142</v>
      </c>
      <c r="F19" s="38" t="s">
        <v>238</v>
      </c>
      <c r="G19" s="115" t="s">
        <v>453</v>
      </c>
      <c r="H19" s="100">
        <v>5.8</v>
      </c>
      <c r="I19" s="115">
        <v>5.8</v>
      </c>
      <c r="J19" s="113"/>
      <c r="K19" s="114"/>
      <c r="L19" s="100">
        <v>100</v>
      </c>
    </row>
    <row r="20" spans="1:12" ht="30.75" customHeight="1">
      <c r="A20" s="28">
        <v>13</v>
      </c>
      <c r="B20" s="19" t="s">
        <v>65</v>
      </c>
      <c r="C20" s="28">
        <v>901</v>
      </c>
      <c r="D20" s="36">
        <v>104</v>
      </c>
      <c r="E20" s="37" t="s">
        <v>144</v>
      </c>
      <c r="F20" s="37"/>
      <c r="G20" s="98">
        <f>SUM(G21)</f>
        <v>3268</v>
      </c>
      <c r="H20" s="110">
        <f>H21</f>
        <v>3461.784</v>
      </c>
      <c r="I20" s="99">
        <f>SUM(I21)</f>
        <v>3440.9</v>
      </c>
      <c r="J20" s="113"/>
      <c r="K20" s="114"/>
      <c r="L20" s="110">
        <f>L21</f>
        <v>99.39672723659247</v>
      </c>
    </row>
    <row r="21" spans="1:12" ht="28.5" customHeight="1">
      <c r="A21" s="28">
        <v>14</v>
      </c>
      <c r="B21" s="34" t="s">
        <v>248</v>
      </c>
      <c r="C21" s="30">
        <v>901</v>
      </c>
      <c r="D21" s="39">
        <v>104</v>
      </c>
      <c r="E21" s="38" t="s">
        <v>144</v>
      </c>
      <c r="F21" s="38" t="s">
        <v>43</v>
      </c>
      <c r="G21" s="115">
        <v>3268</v>
      </c>
      <c r="H21" s="100">
        <f>3268+44.1+17.081+24.2+9+11.704+48.607+7.799+21.793+9.5</f>
        <v>3461.784</v>
      </c>
      <c r="I21" s="115">
        <v>3440.9</v>
      </c>
      <c r="J21" s="113"/>
      <c r="K21" s="114"/>
      <c r="L21" s="100">
        <f>I21/H21*100</f>
        <v>99.39672723659247</v>
      </c>
    </row>
    <row r="22" spans="1:12" ht="19.5" customHeight="1">
      <c r="A22" s="28">
        <v>15</v>
      </c>
      <c r="B22" s="19" t="s">
        <v>340</v>
      </c>
      <c r="C22" s="28">
        <v>901</v>
      </c>
      <c r="D22" s="36">
        <v>105</v>
      </c>
      <c r="E22" s="37"/>
      <c r="F22" s="37"/>
      <c r="G22" s="99">
        <f aca="true" t="shared" si="1" ref="G22:I24">SUM(G23)</f>
        <v>12.8</v>
      </c>
      <c r="H22" s="110">
        <f t="shared" si="1"/>
        <v>12.8</v>
      </c>
      <c r="I22" s="99">
        <f t="shared" si="1"/>
        <v>12.8</v>
      </c>
      <c r="J22" s="111"/>
      <c r="K22" s="112"/>
      <c r="L22" s="110">
        <f>SUM(L23)</f>
        <v>100</v>
      </c>
    </row>
    <row r="23" spans="1:12" ht="22.5" customHeight="1">
      <c r="A23" s="28">
        <v>16</v>
      </c>
      <c r="B23" s="19" t="s">
        <v>63</v>
      </c>
      <c r="C23" s="28">
        <v>901</v>
      </c>
      <c r="D23" s="36">
        <v>105</v>
      </c>
      <c r="E23" s="37" t="s">
        <v>143</v>
      </c>
      <c r="F23" s="37"/>
      <c r="G23" s="99">
        <f t="shared" si="1"/>
        <v>12.8</v>
      </c>
      <c r="H23" s="110">
        <f t="shared" si="1"/>
        <v>12.8</v>
      </c>
      <c r="I23" s="99">
        <f t="shared" si="1"/>
        <v>12.8</v>
      </c>
      <c r="J23" s="111"/>
      <c r="K23" s="112"/>
      <c r="L23" s="110">
        <f>SUM(L24)</f>
        <v>100</v>
      </c>
    </row>
    <row r="24" spans="1:12" ht="74.25" customHeight="1">
      <c r="A24" s="28">
        <v>17</v>
      </c>
      <c r="B24" s="41" t="s">
        <v>344</v>
      </c>
      <c r="C24" s="28">
        <v>901</v>
      </c>
      <c r="D24" s="36">
        <v>105</v>
      </c>
      <c r="E24" s="37" t="s">
        <v>292</v>
      </c>
      <c r="F24" s="37"/>
      <c r="G24" s="99">
        <f t="shared" si="1"/>
        <v>12.8</v>
      </c>
      <c r="H24" s="110">
        <f t="shared" si="1"/>
        <v>12.8</v>
      </c>
      <c r="I24" s="99">
        <f t="shared" si="1"/>
        <v>12.8</v>
      </c>
      <c r="J24" s="111"/>
      <c r="K24" s="112"/>
      <c r="L24" s="110">
        <f>SUM(L25)</f>
        <v>100</v>
      </c>
    </row>
    <row r="25" spans="1:12" ht="27" customHeight="1">
      <c r="A25" s="28">
        <v>18</v>
      </c>
      <c r="B25" s="34" t="s">
        <v>245</v>
      </c>
      <c r="C25" s="30">
        <v>901</v>
      </c>
      <c r="D25" s="39">
        <v>105</v>
      </c>
      <c r="E25" s="38" t="s">
        <v>292</v>
      </c>
      <c r="F25" s="42" t="s">
        <v>67</v>
      </c>
      <c r="G25" s="116">
        <v>12.8</v>
      </c>
      <c r="H25" s="100">
        <v>12.8</v>
      </c>
      <c r="I25" s="116">
        <v>12.8</v>
      </c>
      <c r="J25" s="113"/>
      <c r="K25" s="114"/>
      <c r="L25" s="100">
        <f>I25/H25*100</f>
        <v>100</v>
      </c>
    </row>
    <row r="26" spans="1:12" s="5" customFormat="1" ht="20.25" customHeight="1">
      <c r="A26" s="28">
        <v>19</v>
      </c>
      <c r="B26" s="19" t="s">
        <v>6</v>
      </c>
      <c r="C26" s="28">
        <v>901</v>
      </c>
      <c r="D26" s="36">
        <v>111</v>
      </c>
      <c r="E26" s="37"/>
      <c r="F26" s="37"/>
      <c r="G26" s="99">
        <f>SUM(G27)</f>
        <v>300</v>
      </c>
      <c r="H26" s="110">
        <f>H27</f>
        <v>300</v>
      </c>
      <c r="I26" s="99">
        <v>0</v>
      </c>
      <c r="J26" s="112"/>
      <c r="K26" s="112"/>
      <c r="L26" s="110">
        <f>L27</f>
        <v>0</v>
      </c>
    </row>
    <row r="27" spans="1:12" ht="19.5" customHeight="1">
      <c r="A27" s="28">
        <v>20</v>
      </c>
      <c r="B27" s="19" t="s">
        <v>63</v>
      </c>
      <c r="C27" s="28">
        <v>901</v>
      </c>
      <c r="D27" s="36">
        <v>111</v>
      </c>
      <c r="E27" s="37" t="s">
        <v>143</v>
      </c>
      <c r="F27" s="37"/>
      <c r="G27" s="99">
        <f>SUM(G28)</f>
        <v>300</v>
      </c>
      <c r="H27" s="110">
        <f>H28</f>
        <v>300</v>
      </c>
      <c r="I27" s="99">
        <v>0</v>
      </c>
      <c r="J27" s="113"/>
      <c r="K27" s="114"/>
      <c r="L27" s="110">
        <f>L28</f>
        <v>0</v>
      </c>
    </row>
    <row r="28" spans="1:12" ht="21.75" customHeight="1">
      <c r="A28" s="28">
        <v>21</v>
      </c>
      <c r="B28" s="19" t="s">
        <v>7</v>
      </c>
      <c r="C28" s="28">
        <v>901</v>
      </c>
      <c r="D28" s="36">
        <v>111</v>
      </c>
      <c r="E28" s="37" t="s">
        <v>145</v>
      </c>
      <c r="F28" s="37"/>
      <c r="G28" s="99">
        <f>SUM(G29)</f>
        <v>300</v>
      </c>
      <c r="H28" s="110">
        <f>H29</f>
        <v>300</v>
      </c>
      <c r="I28" s="99">
        <v>0</v>
      </c>
      <c r="J28" s="113"/>
      <c r="K28" s="114"/>
      <c r="L28" s="110">
        <f>L29</f>
        <v>0</v>
      </c>
    </row>
    <row r="29" spans="1:12" ht="16.5" customHeight="1">
      <c r="A29" s="28">
        <v>22</v>
      </c>
      <c r="B29" s="34" t="s">
        <v>45</v>
      </c>
      <c r="C29" s="30">
        <v>901</v>
      </c>
      <c r="D29" s="39">
        <v>111</v>
      </c>
      <c r="E29" s="38" t="s">
        <v>145</v>
      </c>
      <c r="F29" s="38" t="s">
        <v>44</v>
      </c>
      <c r="G29" s="115">
        <v>300</v>
      </c>
      <c r="H29" s="100">
        <v>300</v>
      </c>
      <c r="I29" s="115">
        <v>0</v>
      </c>
      <c r="J29" s="113"/>
      <c r="K29" s="114"/>
      <c r="L29" s="100">
        <v>0</v>
      </c>
    </row>
    <row r="30" spans="1:12" ht="22.5" customHeight="1">
      <c r="A30" s="28">
        <v>23</v>
      </c>
      <c r="B30" s="19" t="s">
        <v>25</v>
      </c>
      <c r="C30" s="28">
        <v>901</v>
      </c>
      <c r="D30" s="36">
        <v>113</v>
      </c>
      <c r="E30" s="37"/>
      <c r="F30" s="38"/>
      <c r="G30" s="99">
        <f>SUM(G31+G50+G61+G66)</f>
        <v>20412.8</v>
      </c>
      <c r="H30" s="110">
        <f>SUM(H31+H50+H61+H66)</f>
        <v>30436.121659999997</v>
      </c>
      <c r="I30" s="99">
        <f>SUM(I31+I50+I61+I66)</f>
        <v>29116.440000000002</v>
      </c>
      <c r="J30" s="113"/>
      <c r="K30" s="114"/>
      <c r="L30" s="110">
        <f aca="true" t="shared" si="2" ref="L30:L35">I30/H30*100</f>
        <v>95.66409388573854</v>
      </c>
    </row>
    <row r="31" spans="1:12" ht="44.25" customHeight="1">
      <c r="A31" s="28">
        <v>24</v>
      </c>
      <c r="B31" s="19" t="s">
        <v>417</v>
      </c>
      <c r="C31" s="28">
        <v>901</v>
      </c>
      <c r="D31" s="36">
        <v>113</v>
      </c>
      <c r="E31" s="37" t="s">
        <v>151</v>
      </c>
      <c r="F31" s="38"/>
      <c r="G31" s="99">
        <f>SUM(G32+G36+G38+G40+G42+G48)</f>
        <v>19318.399999999998</v>
      </c>
      <c r="H31" s="110">
        <f>SUM(H32+H36+H38+H40+H42+H48)</f>
        <v>24597.967999999997</v>
      </c>
      <c r="I31" s="99">
        <f>SUM(I32+I36+I38+I40+I42+I48)</f>
        <v>24188.9</v>
      </c>
      <c r="J31" s="113"/>
      <c r="K31" s="114"/>
      <c r="L31" s="110">
        <f t="shared" si="2"/>
        <v>98.33698458344203</v>
      </c>
    </row>
    <row r="32" spans="1:12" ht="24.75" customHeight="1">
      <c r="A32" s="28">
        <v>25</v>
      </c>
      <c r="B32" s="43" t="s">
        <v>72</v>
      </c>
      <c r="C32" s="28">
        <v>901</v>
      </c>
      <c r="D32" s="36">
        <v>113</v>
      </c>
      <c r="E32" s="37" t="s">
        <v>152</v>
      </c>
      <c r="F32" s="38"/>
      <c r="G32" s="99">
        <f>SUM(G33:G35)</f>
        <v>18468.1</v>
      </c>
      <c r="H32" s="110">
        <f>SUM(H33:H35)</f>
        <v>22423.85</v>
      </c>
      <c r="I32" s="99">
        <f>SUM(I33:I35)</f>
        <v>22169.1</v>
      </c>
      <c r="J32" s="113"/>
      <c r="K32" s="114"/>
      <c r="L32" s="110">
        <f t="shared" si="2"/>
        <v>98.86393282152707</v>
      </c>
    </row>
    <row r="33" spans="1:12" ht="21.75" customHeight="1">
      <c r="A33" s="28">
        <v>26</v>
      </c>
      <c r="B33" s="40" t="s">
        <v>73</v>
      </c>
      <c r="C33" s="30">
        <v>901</v>
      </c>
      <c r="D33" s="39">
        <v>113</v>
      </c>
      <c r="E33" s="38" t="s">
        <v>152</v>
      </c>
      <c r="F33" s="38" t="s">
        <v>37</v>
      </c>
      <c r="G33" s="115">
        <v>12857.1</v>
      </c>
      <c r="H33" s="100">
        <v>13625.65</v>
      </c>
      <c r="I33" s="115">
        <v>13613.3</v>
      </c>
      <c r="J33" s="113"/>
      <c r="K33" s="114"/>
      <c r="L33" s="100">
        <f t="shared" si="2"/>
        <v>99.90936212217399</v>
      </c>
    </row>
    <row r="34" spans="1:12" ht="18.75" customHeight="1">
      <c r="A34" s="28">
        <v>27</v>
      </c>
      <c r="B34" s="34" t="s">
        <v>245</v>
      </c>
      <c r="C34" s="30">
        <v>901</v>
      </c>
      <c r="D34" s="39">
        <v>113</v>
      </c>
      <c r="E34" s="38" t="s">
        <v>152</v>
      </c>
      <c r="F34" s="38" t="s">
        <v>67</v>
      </c>
      <c r="G34" s="115">
        <v>5581</v>
      </c>
      <c r="H34" s="100">
        <v>8720.1</v>
      </c>
      <c r="I34" s="115">
        <v>8477.7</v>
      </c>
      <c r="J34" s="113"/>
      <c r="K34" s="114"/>
      <c r="L34" s="100">
        <f t="shared" si="2"/>
        <v>97.2202153645027</v>
      </c>
    </row>
    <row r="35" spans="1:12" ht="19.5" customHeight="1">
      <c r="A35" s="28">
        <v>28</v>
      </c>
      <c r="B35" s="40" t="s">
        <v>237</v>
      </c>
      <c r="C35" s="30">
        <v>901</v>
      </c>
      <c r="D35" s="39">
        <v>113</v>
      </c>
      <c r="E35" s="38" t="s">
        <v>152</v>
      </c>
      <c r="F35" s="38" t="s">
        <v>238</v>
      </c>
      <c r="G35" s="115">
        <v>30</v>
      </c>
      <c r="H35" s="100">
        <v>78.1</v>
      </c>
      <c r="I35" s="115">
        <v>78.1</v>
      </c>
      <c r="J35" s="113"/>
      <c r="K35" s="114"/>
      <c r="L35" s="100">
        <f t="shared" si="2"/>
        <v>100</v>
      </c>
    </row>
    <row r="36" spans="1:12" ht="36" customHeight="1">
      <c r="A36" s="28">
        <v>29</v>
      </c>
      <c r="B36" s="43" t="s">
        <v>253</v>
      </c>
      <c r="C36" s="28">
        <v>901</v>
      </c>
      <c r="D36" s="36">
        <v>113</v>
      </c>
      <c r="E36" s="37" t="s">
        <v>254</v>
      </c>
      <c r="F36" s="37"/>
      <c r="G36" s="99">
        <f>SUM(G37)</f>
        <v>643.8</v>
      </c>
      <c r="H36" s="110">
        <f>SUM(H37)</f>
        <v>693.6179999999999</v>
      </c>
      <c r="I36" s="99">
        <f>SUM(I37)</f>
        <v>689</v>
      </c>
      <c r="J36" s="111"/>
      <c r="K36" s="112"/>
      <c r="L36" s="110">
        <f>SUM(L37)</f>
        <v>99.33421566337668</v>
      </c>
    </row>
    <row r="37" spans="1:12" ht="27" customHeight="1">
      <c r="A37" s="28">
        <v>30</v>
      </c>
      <c r="B37" s="34" t="s">
        <v>245</v>
      </c>
      <c r="C37" s="30">
        <v>901</v>
      </c>
      <c r="D37" s="39">
        <v>113</v>
      </c>
      <c r="E37" s="38" t="s">
        <v>254</v>
      </c>
      <c r="F37" s="38" t="s">
        <v>67</v>
      </c>
      <c r="G37" s="115">
        <v>643.8</v>
      </c>
      <c r="H37" s="100">
        <f>643.8+30.318+19.5</f>
        <v>693.6179999999999</v>
      </c>
      <c r="I37" s="115">
        <v>689</v>
      </c>
      <c r="J37" s="113"/>
      <c r="K37" s="114"/>
      <c r="L37" s="100">
        <f>I37/H37*100</f>
        <v>99.33421566337668</v>
      </c>
    </row>
    <row r="38" spans="1:12" ht="27" customHeight="1">
      <c r="A38" s="44">
        <v>31</v>
      </c>
      <c r="B38" s="45" t="s">
        <v>389</v>
      </c>
      <c r="C38" s="44">
        <v>901</v>
      </c>
      <c r="D38" s="46">
        <v>113</v>
      </c>
      <c r="E38" s="47" t="s">
        <v>390</v>
      </c>
      <c r="F38" s="47"/>
      <c r="G38" s="117">
        <f>SUM(G39)</f>
        <v>0</v>
      </c>
      <c r="H38" s="118">
        <f>SUM(H39)</f>
        <v>1294.4</v>
      </c>
      <c r="I38" s="117">
        <f>SUM(I39)</f>
        <v>1212.9</v>
      </c>
      <c r="J38" s="119"/>
      <c r="K38" s="119"/>
      <c r="L38" s="118">
        <f>SUM(L39)</f>
        <v>93.70364647713227</v>
      </c>
    </row>
    <row r="39" spans="1:12" ht="27" customHeight="1">
      <c r="A39" s="44">
        <v>32</v>
      </c>
      <c r="B39" s="48" t="s">
        <v>245</v>
      </c>
      <c r="C39" s="49">
        <v>901</v>
      </c>
      <c r="D39" s="50">
        <v>113</v>
      </c>
      <c r="E39" s="42" t="s">
        <v>390</v>
      </c>
      <c r="F39" s="42" t="s">
        <v>67</v>
      </c>
      <c r="G39" s="116">
        <v>0</v>
      </c>
      <c r="H39" s="100">
        <v>1294.4</v>
      </c>
      <c r="I39" s="116">
        <v>1212.9</v>
      </c>
      <c r="J39" s="120"/>
      <c r="K39" s="120"/>
      <c r="L39" s="100">
        <f>I39/H39*100</f>
        <v>93.70364647713227</v>
      </c>
    </row>
    <row r="40" spans="1:12" s="4" customFormat="1" ht="31.5" customHeight="1">
      <c r="A40" s="28">
        <v>33</v>
      </c>
      <c r="B40" s="43" t="s">
        <v>74</v>
      </c>
      <c r="C40" s="44">
        <v>901</v>
      </c>
      <c r="D40" s="36">
        <v>113</v>
      </c>
      <c r="E40" s="37" t="s">
        <v>153</v>
      </c>
      <c r="F40" s="38"/>
      <c r="G40" s="99">
        <f>SUM(G41)</f>
        <v>50</v>
      </c>
      <c r="H40" s="110">
        <f>H41</f>
        <v>29.6</v>
      </c>
      <c r="I40" s="99">
        <f>SUM(I41)</f>
        <v>15.9</v>
      </c>
      <c r="J40" s="120"/>
      <c r="K40" s="120"/>
      <c r="L40" s="110">
        <f>L41</f>
        <v>53.71621621621622</v>
      </c>
    </row>
    <row r="41" spans="1:12" ht="27.75" customHeight="1">
      <c r="A41" s="28">
        <v>34</v>
      </c>
      <c r="B41" s="34" t="s">
        <v>245</v>
      </c>
      <c r="C41" s="49">
        <v>901</v>
      </c>
      <c r="D41" s="39">
        <v>113</v>
      </c>
      <c r="E41" s="38" t="s">
        <v>153</v>
      </c>
      <c r="F41" s="38" t="s">
        <v>67</v>
      </c>
      <c r="G41" s="115">
        <v>50</v>
      </c>
      <c r="H41" s="100">
        <f>50-20.4</f>
        <v>29.6</v>
      </c>
      <c r="I41" s="115">
        <v>15.9</v>
      </c>
      <c r="J41" s="120"/>
      <c r="K41" s="120"/>
      <c r="L41" s="100">
        <f>I41/H41*100</f>
        <v>53.71621621621622</v>
      </c>
    </row>
    <row r="42" spans="1:12" ht="45" customHeight="1">
      <c r="A42" s="28">
        <v>35</v>
      </c>
      <c r="B42" s="43" t="s">
        <v>75</v>
      </c>
      <c r="C42" s="28">
        <v>901</v>
      </c>
      <c r="D42" s="36">
        <v>113</v>
      </c>
      <c r="E42" s="47" t="s">
        <v>273</v>
      </c>
      <c r="F42" s="38"/>
      <c r="G42" s="99">
        <f>SUM(G43+G45)</f>
        <v>106.5</v>
      </c>
      <c r="H42" s="110">
        <f>H43+H45</f>
        <v>106.5</v>
      </c>
      <c r="I42" s="99">
        <f>SUM(I43+I45)</f>
        <v>52.00000000000001</v>
      </c>
      <c r="J42" s="113"/>
      <c r="K42" s="114"/>
      <c r="L42" s="110">
        <f>I42/H42*100</f>
        <v>48.826291079812215</v>
      </c>
    </row>
    <row r="43" spans="1:12" ht="67.5" customHeight="1">
      <c r="A43" s="28">
        <v>36</v>
      </c>
      <c r="B43" s="43" t="s">
        <v>76</v>
      </c>
      <c r="C43" s="28">
        <v>901</v>
      </c>
      <c r="D43" s="36">
        <v>113</v>
      </c>
      <c r="E43" s="37" t="s">
        <v>154</v>
      </c>
      <c r="F43" s="38"/>
      <c r="G43" s="99">
        <f>SUM(G44)</f>
        <v>0.1</v>
      </c>
      <c r="H43" s="118">
        <f>H44</f>
        <v>0.1</v>
      </c>
      <c r="I43" s="99">
        <f>SUM(I44)</f>
        <v>0.1</v>
      </c>
      <c r="J43" s="113"/>
      <c r="K43" s="114"/>
      <c r="L43" s="118">
        <f>L44</f>
        <v>100</v>
      </c>
    </row>
    <row r="44" spans="1:12" ht="28.5" customHeight="1">
      <c r="A44" s="28">
        <v>37</v>
      </c>
      <c r="B44" s="34" t="s">
        <v>245</v>
      </c>
      <c r="C44" s="30">
        <v>901</v>
      </c>
      <c r="D44" s="39">
        <v>113</v>
      </c>
      <c r="E44" s="38" t="s">
        <v>154</v>
      </c>
      <c r="F44" s="38" t="s">
        <v>67</v>
      </c>
      <c r="G44" s="115">
        <v>0.1</v>
      </c>
      <c r="H44" s="100">
        <v>0.1</v>
      </c>
      <c r="I44" s="115">
        <v>0.1</v>
      </c>
      <c r="J44" s="113"/>
      <c r="K44" s="114"/>
      <c r="L44" s="100">
        <f>I44/H44*100</f>
        <v>100</v>
      </c>
    </row>
    <row r="45" spans="1:12" ht="27.75" customHeight="1">
      <c r="A45" s="28">
        <v>38</v>
      </c>
      <c r="B45" s="43" t="s">
        <v>77</v>
      </c>
      <c r="C45" s="28">
        <v>901</v>
      </c>
      <c r="D45" s="36">
        <v>113</v>
      </c>
      <c r="E45" s="37" t="s">
        <v>155</v>
      </c>
      <c r="F45" s="38"/>
      <c r="G45" s="99">
        <f>SUM(G46:G47)</f>
        <v>106.4</v>
      </c>
      <c r="H45" s="118">
        <f>H46+H47</f>
        <v>106.4</v>
      </c>
      <c r="I45" s="99">
        <f>SUM(I46:I47)</f>
        <v>51.900000000000006</v>
      </c>
      <c r="J45" s="113"/>
      <c r="K45" s="114"/>
      <c r="L45" s="118">
        <f>I45/H45*100</f>
        <v>48.778195488721806</v>
      </c>
    </row>
    <row r="46" spans="1:12" ht="27">
      <c r="A46" s="28">
        <v>39</v>
      </c>
      <c r="B46" s="34" t="s">
        <v>248</v>
      </c>
      <c r="C46" s="30">
        <v>901</v>
      </c>
      <c r="D46" s="39">
        <v>113</v>
      </c>
      <c r="E46" s="38" t="s">
        <v>155</v>
      </c>
      <c r="F46" s="38" t="s">
        <v>43</v>
      </c>
      <c r="G46" s="115">
        <v>45.4</v>
      </c>
      <c r="H46" s="100">
        <v>45.4</v>
      </c>
      <c r="I46" s="115">
        <v>7.7</v>
      </c>
      <c r="J46" s="113"/>
      <c r="K46" s="114"/>
      <c r="L46" s="100">
        <f>I46/H46*100</f>
        <v>16.96035242290749</v>
      </c>
    </row>
    <row r="47" spans="1:12" ht="27.75" customHeight="1">
      <c r="A47" s="28">
        <v>40</v>
      </c>
      <c r="B47" s="34" t="s">
        <v>245</v>
      </c>
      <c r="C47" s="30">
        <v>901</v>
      </c>
      <c r="D47" s="39">
        <v>113</v>
      </c>
      <c r="E47" s="38" t="s">
        <v>155</v>
      </c>
      <c r="F47" s="38" t="s">
        <v>67</v>
      </c>
      <c r="G47" s="115">
        <v>61</v>
      </c>
      <c r="H47" s="100">
        <v>61</v>
      </c>
      <c r="I47" s="115">
        <v>44.2</v>
      </c>
      <c r="J47" s="113"/>
      <c r="K47" s="114"/>
      <c r="L47" s="100">
        <f>I47/H47*100</f>
        <v>72.45901639344264</v>
      </c>
    </row>
    <row r="48" spans="1:12" ht="15" customHeight="1">
      <c r="A48" s="28">
        <v>41</v>
      </c>
      <c r="B48" s="43" t="s">
        <v>78</v>
      </c>
      <c r="C48" s="28">
        <v>901</v>
      </c>
      <c r="D48" s="36">
        <v>113</v>
      </c>
      <c r="E48" s="37" t="s">
        <v>156</v>
      </c>
      <c r="F48" s="38"/>
      <c r="G48" s="99">
        <f>SUM(G49)</f>
        <v>50</v>
      </c>
      <c r="H48" s="110">
        <f>H49</f>
        <v>50</v>
      </c>
      <c r="I48" s="99">
        <f>SUM(I49)</f>
        <v>50</v>
      </c>
      <c r="J48" s="113"/>
      <c r="K48" s="114"/>
      <c r="L48" s="110">
        <f>L49</f>
        <v>100</v>
      </c>
    </row>
    <row r="49" spans="1:12" ht="30.75" customHeight="1">
      <c r="A49" s="28">
        <v>42</v>
      </c>
      <c r="B49" s="34" t="s">
        <v>245</v>
      </c>
      <c r="C49" s="30">
        <v>901</v>
      </c>
      <c r="D49" s="39">
        <v>113</v>
      </c>
      <c r="E49" s="38" t="s">
        <v>156</v>
      </c>
      <c r="F49" s="38" t="s">
        <v>67</v>
      </c>
      <c r="G49" s="115">
        <v>50</v>
      </c>
      <c r="H49" s="100">
        <v>50</v>
      </c>
      <c r="I49" s="115">
        <v>50</v>
      </c>
      <c r="J49" s="113"/>
      <c r="K49" s="114"/>
      <c r="L49" s="100">
        <f>I49/H49*100</f>
        <v>100</v>
      </c>
    </row>
    <row r="50" spans="1:12" ht="51" customHeight="1">
      <c r="A50" s="28">
        <v>43</v>
      </c>
      <c r="B50" s="43" t="s">
        <v>455</v>
      </c>
      <c r="C50" s="28">
        <v>901</v>
      </c>
      <c r="D50" s="36">
        <v>113</v>
      </c>
      <c r="E50" s="37" t="s">
        <v>146</v>
      </c>
      <c r="F50" s="38"/>
      <c r="G50" s="99">
        <f>SUM(G51+G53+G55+G57+G59)</f>
        <v>930</v>
      </c>
      <c r="H50" s="110">
        <f>SUM(H51+H53+H55+H57+H59)</f>
        <v>0</v>
      </c>
      <c r="I50" s="99">
        <v>0</v>
      </c>
      <c r="J50" s="113"/>
      <c r="K50" s="114"/>
      <c r="L50" s="110">
        <f>SUM(L51+L53+L55+L57+L59)</f>
        <v>0</v>
      </c>
    </row>
    <row r="51" spans="1:12" ht="27">
      <c r="A51" s="28">
        <v>44</v>
      </c>
      <c r="B51" s="43" t="s">
        <v>68</v>
      </c>
      <c r="C51" s="28">
        <v>901</v>
      </c>
      <c r="D51" s="36">
        <v>113</v>
      </c>
      <c r="E51" s="37" t="s">
        <v>147</v>
      </c>
      <c r="F51" s="38"/>
      <c r="G51" s="99">
        <f>SUM(G52)</f>
        <v>184</v>
      </c>
      <c r="H51" s="110">
        <f>H52</f>
        <v>0</v>
      </c>
      <c r="I51" s="99">
        <v>0</v>
      </c>
      <c r="J51" s="113"/>
      <c r="K51" s="114"/>
      <c r="L51" s="110">
        <f>L52</f>
        <v>0</v>
      </c>
    </row>
    <row r="52" spans="1:12" ht="27" customHeight="1">
      <c r="A52" s="28">
        <v>45</v>
      </c>
      <c r="B52" s="34" t="s">
        <v>245</v>
      </c>
      <c r="C52" s="30">
        <v>901</v>
      </c>
      <c r="D52" s="39">
        <v>113</v>
      </c>
      <c r="E52" s="38" t="s">
        <v>147</v>
      </c>
      <c r="F52" s="38" t="s">
        <v>67</v>
      </c>
      <c r="G52" s="115">
        <v>184</v>
      </c>
      <c r="H52" s="100">
        <v>0</v>
      </c>
      <c r="I52" s="115">
        <v>0</v>
      </c>
      <c r="J52" s="113"/>
      <c r="K52" s="114"/>
      <c r="L52" s="100">
        <v>0</v>
      </c>
    </row>
    <row r="53" spans="1:12" ht="27" customHeight="1">
      <c r="A53" s="28">
        <v>46</v>
      </c>
      <c r="B53" s="43" t="s">
        <v>70</v>
      </c>
      <c r="C53" s="28">
        <v>901</v>
      </c>
      <c r="D53" s="36">
        <v>113</v>
      </c>
      <c r="E53" s="37" t="s">
        <v>148</v>
      </c>
      <c r="F53" s="38"/>
      <c r="G53" s="99">
        <f>SUM(G54)</f>
        <v>50</v>
      </c>
      <c r="H53" s="110">
        <f>H54</f>
        <v>0</v>
      </c>
      <c r="I53" s="99">
        <v>0</v>
      </c>
      <c r="J53" s="113"/>
      <c r="K53" s="114"/>
      <c r="L53" s="110">
        <f>L54</f>
        <v>0</v>
      </c>
    </row>
    <row r="54" spans="1:12" ht="28.5" customHeight="1">
      <c r="A54" s="28">
        <v>47</v>
      </c>
      <c r="B54" s="34" t="s">
        <v>245</v>
      </c>
      <c r="C54" s="30">
        <v>901</v>
      </c>
      <c r="D54" s="39">
        <v>113</v>
      </c>
      <c r="E54" s="38" t="s">
        <v>148</v>
      </c>
      <c r="F54" s="38" t="s">
        <v>67</v>
      </c>
      <c r="G54" s="115">
        <v>50</v>
      </c>
      <c r="H54" s="121">
        <v>0</v>
      </c>
      <c r="I54" s="115">
        <v>0</v>
      </c>
      <c r="J54" s="113"/>
      <c r="K54" s="114"/>
      <c r="L54" s="121">
        <v>0</v>
      </c>
    </row>
    <row r="55" spans="1:12" ht="25.5" customHeight="1">
      <c r="A55" s="28">
        <v>48</v>
      </c>
      <c r="B55" s="59" t="s">
        <v>293</v>
      </c>
      <c r="C55" s="28">
        <v>901</v>
      </c>
      <c r="D55" s="36">
        <v>113</v>
      </c>
      <c r="E55" s="37" t="s">
        <v>149</v>
      </c>
      <c r="F55" s="38"/>
      <c r="G55" s="99">
        <f>SUM(G56)</f>
        <v>500</v>
      </c>
      <c r="H55" s="110">
        <f>H56</f>
        <v>0</v>
      </c>
      <c r="I55" s="99">
        <v>0</v>
      </c>
      <c r="J55" s="113"/>
      <c r="K55" s="114"/>
      <c r="L55" s="110">
        <f>L56</f>
        <v>0</v>
      </c>
    </row>
    <row r="56" spans="1:12" ht="29.25" customHeight="1">
      <c r="A56" s="28">
        <v>49</v>
      </c>
      <c r="B56" s="34" t="s">
        <v>245</v>
      </c>
      <c r="C56" s="30">
        <v>901</v>
      </c>
      <c r="D56" s="39">
        <v>113</v>
      </c>
      <c r="E56" s="38" t="s">
        <v>149</v>
      </c>
      <c r="F56" s="38" t="s">
        <v>67</v>
      </c>
      <c r="G56" s="115">
        <v>500</v>
      </c>
      <c r="H56" s="100">
        <v>0</v>
      </c>
      <c r="I56" s="115">
        <v>0</v>
      </c>
      <c r="J56" s="113"/>
      <c r="K56" s="114"/>
      <c r="L56" s="100">
        <v>0</v>
      </c>
    </row>
    <row r="57" spans="1:12" ht="36.75" customHeight="1">
      <c r="A57" s="28">
        <v>50</v>
      </c>
      <c r="B57" s="59" t="s">
        <v>294</v>
      </c>
      <c r="C57" s="28">
        <v>901</v>
      </c>
      <c r="D57" s="36">
        <v>113</v>
      </c>
      <c r="E57" s="37" t="s">
        <v>150</v>
      </c>
      <c r="F57" s="38"/>
      <c r="G57" s="99">
        <f>SUM(G58)</f>
        <v>100</v>
      </c>
      <c r="H57" s="110">
        <f>SUM(H58)</f>
        <v>0</v>
      </c>
      <c r="I57" s="99">
        <v>0</v>
      </c>
      <c r="J57" s="113"/>
      <c r="K57" s="114"/>
      <c r="L57" s="110">
        <f>SUM(L58)</f>
        <v>0</v>
      </c>
    </row>
    <row r="58" spans="1:12" ht="29.25" customHeight="1">
      <c r="A58" s="28">
        <v>51</v>
      </c>
      <c r="B58" s="34" t="s">
        <v>245</v>
      </c>
      <c r="C58" s="30">
        <v>901</v>
      </c>
      <c r="D58" s="39">
        <v>113</v>
      </c>
      <c r="E58" s="38" t="s">
        <v>150</v>
      </c>
      <c r="F58" s="38" t="s">
        <v>67</v>
      </c>
      <c r="G58" s="115">
        <v>100</v>
      </c>
      <c r="H58" s="100">
        <v>0</v>
      </c>
      <c r="I58" s="115">
        <v>0</v>
      </c>
      <c r="J58" s="113"/>
      <c r="K58" s="114"/>
      <c r="L58" s="100">
        <v>0</v>
      </c>
    </row>
    <row r="59" spans="1:12" ht="29.25" customHeight="1">
      <c r="A59" s="28">
        <v>52</v>
      </c>
      <c r="B59" s="59" t="s">
        <v>295</v>
      </c>
      <c r="C59" s="28">
        <v>901</v>
      </c>
      <c r="D59" s="36">
        <v>113</v>
      </c>
      <c r="E59" s="37" t="s">
        <v>296</v>
      </c>
      <c r="F59" s="37"/>
      <c r="G59" s="99">
        <f>SUM(G60)</f>
        <v>96</v>
      </c>
      <c r="H59" s="110">
        <f>SUM(H60)</f>
        <v>0</v>
      </c>
      <c r="I59" s="99">
        <v>0</v>
      </c>
      <c r="J59" s="111"/>
      <c r="K59" s="112"/>
      <c r="L59" s="110">
        <f>SUM(L60)</f>
        <v>0</v>
      </c>
    </row>
    <row r="60" spans="1:12" ht="29.25" customHeight="1">
      <c r="A60" s="28">
        <v>53</v>
      </c>
      <c r="B60" s="34" t="s">
        <v>245</v>
      </c>
      <c r="C60" s="30">
        <v>901</v>
      </c>
      <c r="D60" s="39">
        <v>113</v>
      </c>
      <c r="E60" s="38" t="s">
        <v>296</v>
      </c>
      <c r="F60" s="38" t="s">
        <v>67</v>
      </c>
      <c r="G60" s="115">
        <v>96</v>
      </c>
      <c r="H60" s="100">
        <v>0</v>
      </c>
      <c r="I60" s="115">
        <v>0</v>
      </c>
      <c r="J60" s="113"/>
      <c r="K60" s="114"/>
      <c r="L60" s="100">
        <v>0</v>
      </c>
    </row>
    <row r="61" spans="1:12" ht="41.25" customHeight="1">
      <c r="A61" s="28">
        <v>54</v>
      </c>
      <c r="B61" s="43" t="s">
        <v>419</v>
      </c>
      <c r="C61" s="28">
        <v>901</v>
      </c>
      <c r="D61" s="36">
        <v>113</v>
      </c>
      <c r="E61" s="37" t="s">
        <v>157</v>
      </c>
      <c r="F61" s="37"/>
      <c r="G61" s="99">
        <f>SUM(G62)</f>
        <v>150</v>
      </c>
      <c r="H61" s="110">
        <f>H62</f>
        <v>85.481</v>
      </c>
      <c r="I61" s="117">
        <f>SUM(I62)</f>
        <v>76.03999999999999</v>
      </c>
      <c r="J61" s="113"/>
      <c r="K61" s="114"/>
      <c r="L61" s="110">
        <f>L62</f>
        <v>88.95544039026217</v>
      </c>
    </row>
    <row r="62" spans="1:12" ht="43.5" customHeight="1">
      <c r="A62" s="28">
        <v>55</v>
      </c>
      <c r="B62" s="43" t="s">
        <v>71</v>
      </c>
      <c r="C62" s="28">
        <v>901</v>
      </c>
      <c r="D62" s="36">
        <v>113</v>
      </c>
      <c r="E62" s="37" t="s">
        <v>158</v>
      </c>
      <c r="F62" s="37"/>
      <c r="G62" s="99">
        <f>SUM(G63)</f>
        <v>150</v>
      </c>
      <c r="H62" s="110">
        <f>H63</f>
        <v>85.481</v>
      </c>
      <c r="I62" s="117">
        <f>SUM(I63)</f>
        <v>76.03999999999999</v>
      </c>
      <c r="J62" s="113"/>
      <c r="K62" s="114"/>
      <c r="L62" s="110">
        <f>L63</f>
        <v>88.95544039026217</v>
      </c>
    </row>
    <row r="63" spans="1:12" ht="30" customHeight="1">
      <c r="A63" s="28">
        <v>56</v>
      </c>
      <c r="B63" s="19" t="s">
        <v>126</v>
      </c>
      <c r="C63" s="28">
        <v>901</v>
      </c>
      <c r="D63" s="36">
        <v>113</v>
      </c>
      <c r="E63" s="37" t="s">
        <v>158</v>
      </c>
      <c r="F63" s="37"/>
      <c r="G63" s="99">
        <f>SUM(G64:G65)</f>
        <v>150</v>
      </c>
      <c r="H63" s="110">
        <f>SUM(H64:H65)</f>
        <v>85.481</v>
      </c>
      <c r="I63" s="117">
        <f>SUM(I64:I65)</f>
        <v>76.03999999999999</v>
      </c>
      <c r="J63" s="113"/>
      <c r="K63" s="114"/>
      <c r="L63" s="110">
        <f>I63/H63*100</f>
        <v>88.95544039026217</v>
      </c>
    </row>
    <row r="64" spans="1:12" ht="27">
      <c r="A64" s="28">
        <v>57</v>
      </c>
      <c r="B64" s="34" t="s">
        <v>248</v>
      </c>
      <c r="C64" s="30">
        <v>901</v>
      </c>
      <c r="D64" s="39">
        <v>113</v>
      </c>
      <c r="E64" s="38" t="s">
        <v>158</v>
      </c>
      <c r="F64" s="38" t="s">
        <v>43</v>
      </c>
      <c r="G64" s="115">
        <v>60</v>
      </c>
      <c r="H64" s="100">
        <f>60-1.375-3-40.674+10.5+3</f>
        <v>28.451</v>
      </c>
      <c r="I64" s="116">
        <v>19.04</v>
      </c>
      <c r="J64" s="113"/>
      <c r="K64" s="114"/>
      <c r="L64" s="100">
        <f>I64/H64*100</f>
        <v>66.9220765526695</v>
      </c>
    </row>
    <row r="65" spans="1:12" ht="29.25" customHeight="1">
      <c r="A65" s="28">
        <v>58</v>
      </c>
      <c r="B65" s="34" t="s">
        <v>245</v>
      </c>
      <c r="C65" s="30">
        <v>901</v>
      </c>
      <c r="D65" s="39">
        <v>113</v>
      </c>
      <c r="E65" s="38" t="s">
        <v>158</v>
      </c>
      <c r="F65" s="38" t="s">
        <v>67</v>
      </c>
      <c r="G65" s="115">
        <v>90</v>
      </c>
      <c r="H65" s="100">
        <f>90-35.97+3</f>
        <v>57.03</v>
      </c>
      <c r="I65" s="116">
        <v>57</v>
      </c>
      <c r="J65" s="113"/>
      <c r="K65" s="114"/>
      <c r="L65" s="100">
        <f>I65/H65*100</f>
        <v>99.94739610731193</v>
      </c>
    </row>
    <row r="66" spans="1:12" ht="19.5" customHeight="1">
      <c r="A66" s="28">
        <v>59</v>
      </c>
      <c r="B66" s="19" t="s">
        <v>63</v>
      </c>
      <c r="C66" s="28">
        <v>901</v>
      </c>
      <c r="D66" s="36">
        <v>113</v>
      </c>
      <c r="E66" s="37" t="s">
        <v>143</v>
      </c>
      <c r="F66" s="37"/>
      <c r="G66" s="99">
        <f>SUM(G67+G69+G71+G73+G75+G77)</f>
        <v>14.4</v>
      </c>
      <c r="H66" s="110">
        <f>SUM(H67+H69+H71+H73+H75+H77)</f>
        <v>5752.67266</v>
      </c>
      <c r="I66" s="99">
        <f>SUM(I67+I69+I71+I73+I75+I77)</f>
        <v>4851.5</v>
      </c>
      <c r="J66" s="111"/>
      <c r="K66" s="112"/>
      <c r="L66" s="110">
        <f>I66/H66*100</f>
        <v>84.33471338868081</v>
      </c>
    </row>
    <row r="67" spans="1:12" ht="19.5" customHeight="1">
      <c r="A67" s="44">
        <v>60</v>
      </c>
      <c r="B67" s="51" t="s">
        <v>414</v>
      </c>
      <c r="C67" s="44">
        <v>901</v>
      </c>
      <c r="D67" s="46">
        <v>113</v>
      </c>
      <c r="E67" s="47" t="s">
        <v>410</v>
      </c>
      <c r="F67" s="42"/>
      <c r="G67" s="117">
        <f>SUM(G68)</f>
        <v>0</v>
      </c>
      <c r="H67" s="118">
        <f>SUM(H68)</f>
        <v>5000</v>
      </c>
      <c r="I67" s="117">
        <f>SUM(I68)</f>
        <v>4100</v>
      </c>
      <c r="J67" s="119"/>
      <c r="K67" s="119"/>
      <c r="L67" s="118">
        <f>SUM(L68)</f>
        <v>82</v>
      </c>
    </row>
    <row r="68" spans="1:12" ht="19.5" customHeight="1">
      <c r="A68" s="44">
        <v>61</v>
      </c>
      <c r="B68" s="48" t="s">
        <v>409</v>
      </c>
      <c r="C68" s="49">
        <v>901</v>
      </c>
      <c r="D68" s="50">
        <v>113</v>
      </c>
      <c r="E68" s="42" t="s">
        <v>410</v>
      </c>
      <c r="F68" s="42" t="s">
        <v>411</v>
      </c>
      <c r="G68" s="116">
        <v>0</v>
      </c>
      <c r="H68" s="100">
        <f>1500+4500-1000-960.973+960.973</f>
        <v>5000</v>
      </c>
      <c r="I68" s="116">
        <v>4100</v>
      </c>
      <c r="J68" s="119"/>
      <c r="K68" s="119"/>
      <c r="L68" s="100">
        <f>I68/H68*100</f>
        <v>82</v>
      </c>
    </row>
    <row r="69" spans="1:12" ht="33.75" customHeight="1">
      <c r="A69" s="28">
        <v>62</v>
      </c>
      <c r="B69" s="51" t="s">
        <v>366</v>
      </c>
      <c r="C69" s="44">
        <v>901</v>
      </c>
      <c r="D69" s="46">
        <v>113</v>
      </c>
      <c r="E69" s="47" t="s">
        <v>367</v>
      </c>
      <c r="F69" s="42"/>
      <c r="G69" s="117">
        <f>SUM(G70)</f>
        <v>0</v>
      </c>
      <c r="H69" s="118">
        <f>SUM(H70)</f>
        <v>199.8</v>
      </c>
      <c r="I69" s="117">
        <f>SUM(I70)</f>
        <v>199.8</v>
      </c>
      <c r="J69" s="119"/>
      <c r="K69" s="119"/>
      <c r="L69" s="118">
        <f>SUM(L70)</f>
        <v>100</v>
      </c>
    </row>
    <row r="70" spans="1:12" ht="31.5" customHeight="1">
      <c r="A70" s="28">
        <v>63</v>
      </c>
      <c r="B70" s="48" t="s">
        <v>245</v>
      </c>
      <c r="C70" s="49">
        <v>901</v>
      </c>
      <c r="D70" s="50">
        <v>113</v>
      </c>
      <c r="E70" s="42" t="s">
        <v>367</v>
      </c>
      <c r="F70" s="42" t="s">
        <v>67</v>
      </c>
      <c r="G70" s="116">
        <v>0</v>
      </c>
      <c r="H70" s="100">
        <f>200-0.2</f>
        <v>199.8</v>
      </c>
      <c r="I70" s="116">
        <v>199.8</v>
      </c>
      <c r="J70" s="119"/>
      <c r="K70" s="119"/>
      <c r="L70" s="100">
        <f>I70/H70*100</f>
        <v>100</v>
      </c>
    </row>
    <row r="71" spans="1:12" ht="25.5" customHeight="1">
      <c r="A71" s="28">
        <v>64</v>
      </c>
      <c r="B71" s="52" t="s">
        <v>243</v>
      </c>
      <c r="C71" s="28">
        <v>901</v>
      </c>
      <c r="D71" s="36">
        <v>113</v>
      </c>
      <c r="E71" s="37" t="s">
        <v>244</v>
      </c>
      <c r="F71" s="37"/>
      <c r="G71" s="99">
        <f>SUM(G72)</f>
        <v>14.4</v>
      </c>
      <c r="H71" s="110">
        <f>SUM(H72)</f>
        <v>27.979260000000004</v>
      </c>
      <c r="I71" s="99">
        <f>SUM(I72)</f>
        <v>26.8</v>
      </c>
      <c r="J71" s="113"/>
      <c r="K71" s="114"/>
      <c r="L71" s="110">
        <f>SUM(L72)</f>
        <v>95.78523520636357</v>
      </c>
    </row>
    <row r="72" spans="1:12" ht="21.75" customHeight="1">
      <c r="A72" s="28">
        <v>65</v>
      </c>
      <c r="B72" s="34" t="s">
        <v>248</v>
      </c>
      <c r="C72" s="30">
        <v>901</v>
      </c>
      <c r="D72" s="39">
        <v>113</v>
      </c>
      <c r="E72" s="38" t="s">
        <v>244</v>
      </c>
      <c r="F72" s="38" t="s">
        <v>43</v>
      </c>
      <c r="G72" s="115">
        <v>14.4</v>
      </c>
      <c r="H72" s="100">
        <f>24-6.037-3.562-0.82174+14.4</f>
        <v>27.979260000000004</v>
      </c>
      <c r="I72" s="115">
        <v>26.8</v>
      </c>
      <c r="J72" s="113"/>
      <c r="K72" s="114"/>
      <c r="L72" s="100">
        <f>I72/H72*100</f>
        <v>95.78523520636357</v>
      </c>
    </row>
    <row r="73" spans="1:12" ht="21.75" customHeight="1">
      <c r="A73" s="44">
        <v>66</v>
      </c>
      <c r="B73" s="19" t="s">
        <v>350</v>
      </c>
      <c r="C73" s="28">
        <v>901</v>
      </c>
      <c r="D73" s="36">
        <v>113</v>
      </c>
      <c r="E73" s="37" t="s">
        <v>351</v>
      </c>
      <c r="F73" s="37"/>
      <c r="G73" s="99">
        <f>SUM(G74)</f>
        <v>0</v>
      </c>
      <c r="H73" s="110">
        <f>SUM(H74)</f>
        <v>164.8934</v>
      </c>
      <c r="I73" s="99">
        <f>SUM(I74)</f>
        <v>164.9</v>
      </c>
      <c r="J73" s="111"/>
      <c r="K73" s="112"/>
      <c r="L73" s="110">
        <f>SUM(L74)</f>
        <v>100.00400258591307</v>
      </c>
    </row>
    <row r="74" spans="1:12" ht="21.75" customHeight="1">
      <c r="A74" s="44">
        <v>67</v>
      </c>
      <c r="B74" s="34" t="s">
        <v>350</v>
      </c>
      <c r="C74" s="30">
        <v>901</v>
      </c>
      <c r="D74" s="39">
        <v>113</v>
      </c>
      <c r="E74" s="38" t="s">
        <v>351</v>
      </c>
      <c r="F74" s="38" t="s">
        <v>352</v>
      </c>
      <c r="G74" s="115">
        <v>0</v>
      </c>
      <c r="H74" s="100">
        <f>58.88788+6.01339+100-0.00787</f>
        <v>164.8934</v>
      </c>
      <c r="I74" s="115">
        <v>164.9</v>
      </c>
      <c r="J74" s="113"/>
      <c r="K74" s="114"/>
      <c r="L74" s="100">
        <f>I74/H74*100</f>
        <v>100.00400258591307</v>
      </c>
    </row>
    <row r="75" spans="1:12" s="5" customFormat="1" ht="30" customHeight="1">
      <c r="A75" s="44">
        <v>68</v>
      </c>
      <c r="B75" s="51" t="s">
        <v>374</v>
      </c>
      <c r="C75" s="44">
        <v>901</v>
      </c>
      <c r="D75" s="46">
        <v>113</v>
      </c>
      <c r="E75" s="47" t="s">
        <v>377</v>
      </c>
      <c r="F75" s="47"/>
      <c r="G75" s="117">
        <f>SUM(G76)</f>
        <v>0</v>
      </c>
      <c r="H75" s="118">
        <f>SUM(H76)</f>
        <v>330</v>
      </c>
      <c r="I75" s="117">
        <f>SUM(I76)</f>
        <v>330</v>
      </c>
      <c r="J75" s="119"/>
      <c r="K75" s="119"/>
      <c r="L75" s="118">
        <f>SUM(L76)</f>
        <v>100</v>
      </c>
    </row>
    <row r="76" spans="1:12" ht="21.75" customHeight="1">
      <c r="A76" s="44">
        <v>69</v>
      </c>
      <c r="B76" s="48" t="s">
        <v>350</v>
      </c>
      <c r="C76" s="49">
        <v>901</v>
      </c>
      <c r="D76" s="50">
        <v>113</v>
      </c>
      <c r="E76" s="42" t="s">
        <v>377</v>
      </c>
      <c r="F76" s="42" t="s">
        <v>352</v>
      </c>
      <c r="G76" s="116">
        <v>0</v>
      </c>
      <c r="H76" s="100">
        <v>330</v>
      </c>
      <c r="I76" s="116">
        <v>330</v>
      </c>
      <c r="J76" s="120"/>
      <c r="K76" s="120"/>
      <c r="L76" s="100">
        <f>I76/H76*100</f>
        <v>100</v>
      </c>
    </row>
    <row r="77" spans="1:12" ht="33.75" customHeight="1">
      <c r="A77" s="28">
        <v>70</v>
      </c>
      <c r="B77" s="51" t="s">
        <v>375</v>
      </c>
      <c r="C77" s="44">
        <v>901</v>
      </c>
      <c r="D77" s="46">
        <v>113</v>
      </c>
      <c r="E77" s="47" t="s">
        <v>378</v>
      </c>
      <c r="F77" s="47"/>
      <c r="G77" s="117">
        <f>SUM(G78)</f>
        <v>0</v>
      </c>
      <c r="H77" s="118">
        <f>SUM(H78)</f>
        <v>30</v>
      </c>
      <c r="I77" s="117">
        <f>SUM(I78)</f>
        <v>30</v>
      </c>
      <c r="J77" s="119"/>
      <c r="K77" s="119"/>
      <c r="L77" s="118">
        <f>SUM(L78)</f>
        <v>100</v>
      </c>
    </row>
    <row r="78" spans="1:12" ht="21.75" customHeight="1">
      <c r="A78" s="28">
        <v>71</v>
      </c>
      <c r="B78" s="48" t="s">
        <v>376</v>
      </c>
      <c r="C78" s="49">
        <v>901</v>
      </c>
      <c r="D78" s="50">
        <v>113</v>
      </c>
      <c r="E78" s="42" t="s">
        <v>378</v>
      </c>
      <c r="F78" s="42" t="s">
        <v>238</v>
      </c>
      <c r="G78" s="116">
        <v>0</v>
      </c>
      <c r="H78" s="100">
        <v>30</v>
      </c>
      <c r="I78" s="116">
        <v>30</v>
      </c>
      <c r="J78" s="120"/>
      <c r="K78" s="120"/>
      <c r="L78" s="100">
        <f>I78/H78*100</f>
        <v>100</v>
      </c>
    </row>
    <row r="79" spans="1:12" ht="13.5">
      <c r="A79" s="28">
        <v>72</v>
      </c>
      <c r="B79" s="19" t="s">
        <v>8</v>
      </c>
      <c r="C79" s="28">
        <v>901</v>
      </c>
      <c r="D79" s="36">
        <v>200</v>
      </c>
      <c r="E79" s="37"/>
      <c r="F79" s="38"/>
      <c r="G79" s="99">
        <f>SUM(G80)</f>
        <v>224.4</v>
      </c>
      <c r="H79" s="110">
        <f>H80</f>
        <v>226.4</v>
      </c>
      <c r="I79" s="99">
        <f>SUM(I80)</f>
        <v>224.4</v>
      </c>
      <c r="J79" s="113"/>
      <c r="K79" s="114"/>
      <c r="L79" s="110">
        <f>L80</f>
        <v>99.1166077738516</v>
      </c>
    </row>
    <row r="80" spans="1:12" ht="13.5">
      <c r="A80" s="28">
        <v>73</v>
      </c>
      <c r="B80" s="19" t="s">
        <v>9</v>
      </c>
      <c r="C80" s="28">
        <v>901</v>
      </c>
      <c r="D80" s="36">
        <v>203</v>
      </c>
      <c r="E80" s="37"/>
      <c r="F80" s="38"/>
      <c r="G80" s="99">
        <f>SUM(G81)</f>
        <v>224.4</v>
      </c>
      <c r="H80" s="110">
        <f>H81</f>
        <v>226.4</v>
      </c>
      <c r="I80" s="99">
        <f>SUM(I81)</f>
        <v>224.4</v>
      </c>
      <c r="J80" s="113"/>
      <c r="K80" s="114"/>
      <c r="L80" s="110">
        <f>L81</f>
        <v>99.1166077738516</v>
      </c>
    </row>
    <row r="81" spans="1:12" ht="13.5">
      <c r="A81" s="28">
        <v>74</v>
      </c>
      <c r="B81" s="19" t="s">
        <v>63</v>
      </c>
      <c r="C81" s="28">
        <v>901</v>
      </c>
      <c r="D81" s="36">
        <v>203</v>
      </c>
      <c r="E81" s="37" t="s">
        <v>143</v>
      </c>
      <c r="F81" s="38"/>
      <c r="G81" s="99">
        <f>SUM(G82)</f>
        <v>224.4</v>
      </c>
      <c r="H81" s="110">
        <f>H82</f>
        <v>226.4</v>
      </c>
      <c r="I81" s="99">
        <f>SUM(I82)</f>
        <v>224.4</v>
      </c>
      <c r="J81" s="113"/>
      <c r="K81" s="114"/>
      <c r="L81" s="110">
        <f>L82</f>
        <v>99.1166077738516</v>
      </c>
    </row>
    <row r="82" spans="1:12" ht="27">
      <c r="A82" s="28">
        <v>75</v>
      </c>
      <c r="B82" s="19" t="s">
        <v>36</v>
      </c>
      <c r="C82" s="28">
        <v>901</v>
      </c>
      <c r="D82" s="36">
        <v>203</v>
      </c>
      <c r="E82" s="37" t="s">
        <v>160</v>
      </c>
      <c r="F82" s="38"/>
      <c r="G82" s="99">
        <f>SUM(G83:G84)</f>
        <v>224.4</v>
      </c>
      <c r="H82" s="118">
        <f>H83+H84</f>
        <v>226.4</v>
      </c>
      <c r="I82" s="99">
        <f>SUM(I83:I84)</f>
        <v>224.4</v>
      </c>
      <c r="J82" s="113"/>
      <c r="K82" s="114"/>
      <c r="L82" s="118">
        <f aca="true" t="shared" si="3" ref="L82:L87">I82/H82*100</f>
        <v>99.1166077738516</v>
      </c>
    </row>
    <row r="83" spans="1:12" ht="27">
      <c r="A83" s="28">
        <v>76</v>
      </c>
      <c r="B83" s="34" t="s">
        <v>248</v>
      </c>
      <c r="C83" s="30">
        <v>901</v>
      </c>
      <c r="D83" s="39">
        <v>203</v>
      </c>
      <c r="E83" s="38" t="s">
        <v>161</v>
      </c>
      <c r="F83" s="38" t="s">
        <v>43</v>
      </c>
      <c r="G83" s="115">
        <v>200</v>
      </c>
      <c r="H83" s="100">
        <f>200+3+0.95934-0.22539-3.158</f>
        <v>200.57595</v>
      </c>
      <c r="I83" s="115">
        <v>200.6</v>
      </c>
      <c r="J83" s="113"/>
      <c r="K83" s="114"/>
      <c r="L83" s="100">
        <f t="shared" si="3"/>
        <v>100.01199047044274</v>
      </c>
    </row>
    <row r="84" spans="1:12" ht="28.5" customHeight="1">
      <c r="A84" s="28">
        <v>77</v>
      </c>
      <c r="B84" s="34" t="s">
        <v>245</v>
      </c>
      <c r="C84" s="30">
        <v>901</v>
      </c>
      <c r="D84" s="39">
        <v>203</v>
      </c>
      <c r="E84" s="38" t="s">
        <v>161</v>
      </c>
      <c r="F84" s="38" t="s">
        <v>67</v>
      </c>
      <c r="G84" s="115">
        <v>24.4</v>
      </c>
      <c r="H84" s="100">
        <f>24.4-3+1.04066+0.22539+3.158</f>
        <v>25.82405</v>
      </c>
      <c r="I84" s="115">
        <v>23.8</v>
      </c>
      <c r="J84" s="99" t="s">
        <v>57</v>
      </c>
      <c r="K84" s="114"/>
      <c r="L84" s="100">
        <f t="shared" si="3"/>
        <v>92.16215117303445</v>
      </c>
    </row>
    <row r="85" spans="1:12" ht="29.25" customHeight="1">
      <c r="A85" s="28">
        <v>78</v>
      </c>
      <c r="B85" s="19" t="s">
        <v>10</v>
      </c>
      <c r="C85" s="28">
        <v>901</v>
      </c>
      <c r="D85" s="36">
        <v>300</v>
      </c>
      <c r="E85" s="37"/>
      <c r="F85" s="38"/>
      <c r="G85" s="99">
        <f>SUM(G86+G99+G112)</f>
        <v>8058.5</v>
      </c>
      <c r="H85" s="110">
        <f>H86+H99+H112</f>
        <v>9050.63781</v>
      </c>
      <c r="I85" s="99">
        <f>SUM(I86+I99+I112)</f>
        <v>8949.449999999999</v>
      </c>
      <c r="J85" s="115" t="s">
        <v>46</v>
      </c>
      <c r="K85" s="114"/>
      <c r="L85" s="110">
        <f t="shared" si="3"/>
        <v>98.8819814456811</v>
      </c>
    </row>
    <row r="86" spans="1:12" ht="39" customHeight="1">
      <c r="A86" s="28">
        <v>79</v>
      </c>
      <c r="B86" s="19" t="s">
        <v>31</v>
      </c>
      <c r="C86" s="28">
        <v>901</v>
      </c>
      <c r="D86" s="36">
        <v>309</v>
      </c>
      <c r="E86" s="37"/>
      <c r="F86" s="38"/>
      <c r="G86" s="99">
        <f>SUM(G87+G92)</f>
        <v>4025</v>
      </c>
      <c r="H86" s="110">
        <f>SUM(H87+H92)</f>
        <v>4442.188999999999</v>
      </c>
      <c r="I86" s="99">
        <f>SUM(I87+I92)</f>
        <v>4376.9</v>
      </c>
      <c r="J86" s="99" t="s">
        <v>58</v>
      </c>
      <c r="K86" s="114"/>
      <c r="L86" s="110">
        <f t="shared" si="3"/>
        <v>98.53025163945074</v>
      </c>
    </row>
    <row r="87" spans="1:12" ht="41.25" customHeight="1">
      <c r="A87" s="28">
        <v>80</v>
      </c>
      <c r="B87" s="51" t="s">
        <v>420</v>
      </c>
      <c r="C87" s="28">
        <v>901</v>
      </c>
      <c r="D87" s="36">
        <v>309</v>
      </c>
      <c r="E87" s="37" t="s">
        <v>162</v>
      </c>
      <c r="F87" s="38"/>
      <c r="G87" s="99">
        <f>SUM(G88+G90)</f>
        <v>719</v>
      </c>
      <c r="H87" s="110">
        <f>H88++H90</f>
        <v>767.639</v>
      </c>
      <c r="I87" s="99">
        <f>SUM(I88+I90)</f>
        <v>767.6</v>
      </c>
      <c r="J87" s="115" t="s">
        <v>46</v>
      </c>
      <c r="K87" s="114"/>
      <c r="L87" s="110">
        <f t="shared" si="3"/>
        <v>99.99491948689423</v>
      </c>
    </row>
    <row r="88" spans="1:12" ht="27.75" customHeight="1">
      <c r="A88" s="28">
        <v>81</v>
      </c>
      <c r="B88" s="19" t="s">
        <v>134</v>
      </c>
      <c r="C88" s="28">
        <v>901</v>
      </c>
      <c r="D88" s="36">
        <v>309</v>
      </c>
      <c r="E88" s="37" t="s">
        <v>163</v>
      </c>
      <c r="F88" s="38"/>
      <c r="G88" s="99">
        <f>SUM(G89)</f>
        <v>200</v>
      </c>
      <c r="H88" s="110">
        <f>H89</f>
        <v>200</v>
      </c>
      <c r="I88" s="99">
        <f>SUM(I89)</f>
        <v>200</v>
      </c>
      <c r="J88" s="99" t="s">
        <v>59</v>
      </c>
      <c r="K88" s="114"/>
      <c r="L88" s="110">
        <f>L89</f>
        <v>100</v>
      </c>
    </row>
    <row r="89" spans="1:12" ht="25.5" customHeight="1">
      <c r="A89" s="28">
        <v>82</v>
      </c>
      <c r="B89" s="34" t="s">
        <v>245</v>
      </c>
      <c r="C89" s="30">
        <v>901</v>
      </c>
      <c r="D89" s="39">
        <v>309</v>
      </c>
      <c r="E89" s="38" t="s">
        <v>163</v>
      </c>
      <c r="F89" s="38" t="s">
        <v>67</v>
      </c>
      <c r="G89" s="115">
        <v>200</v>
      </c>
      <c r="H89" s="100">
        <v>200</v>
      </c>
      <c r="I89" s="115">
        <v>200</v>
      </c>
      <c r="J89" s="115" t="s">
        <v>46</v>
      </c>
      <c r="K89" s="114"/>
      <c r="L89" s="100">
        <f>I89/H89*100</f>
        <v>100</v>
      </c>
    </row>
    <row r="90" spans="1:12" ht="30.75" customHeight="1">
      <c r="A90" s="28">
        <v>83</v>
      </c>
      <c r="B90" s="59" t="s">
        <v>297</v>
      </c>
      <c r="C90" s="28">
        <v>901</v>
      </c>
      <c r="D90" s="36">
        <v>309</v>
      </c>
      <c r="E90" s="37" t="s">
        <v>164</v>
      </c>
      <c r="F90" s="38"/>
      <c r="G90" s="99">
        <f>SUM(G91)</f>
        <v>519</v>
      </c>
      <c r="H90" s="110">
        <f>H91</f>
        <v>567.639</v>
      </c>
      <c r="I90" s="99">
        <f>SUM(I91)</f>
        <v>567.6</v>
      </c>
      <c r="J90" s="113"/>
      <c r="K90" s="114"/>
      <c r="L90" s="110">
        <f>L91</f>
        <v>99.9931294361381</v>
      </c>
    </row>
    <row r="91" spans="1:12" ht="27" customHeight="1">
      <c r="A91" s="28">
        <v>84</v>
      </c>
      <c r="B91" s="48" t="s">
        <v>245</v>
      </c>
      <c r="C91" s="30">
        <v>901</v>
      </c>
      <c r="D91" s="39">
        <v>309</v>
      </c>
      <c r="E91" s="38" t="s">
        <v>164</v>
      </c>
      <c r="F91" s="38" t="s">
        <v>67</v>
      </c>
      <c r="G91" s="115">
        <v>519</v>
      </c>
      <c r="H91" s="100">
        <f>519+48.639</f>
        <v>567.639</v>
      </c>
      <c r="I91" s="115">
        <v>567.6</v>
      </c>
      <c r="J91" s="113"/>
      <c r="K91" s="114"/>
      <c r="L91" s="100">
        <f aca="true" t="shared" si="4" ref="L91:L96">I91/H91*100</f>
        <v>99.9931294361381</v>
      </c>
    </row>
    <row r="92" spans="1:12" ht="40.5" customHeight="1">
      <c r="A92" s="28">
        <v>85</v>
      </c>
      <c r="B92" s="19" t="s">
        <v>417</v>
      </c>
      <c r="C92" s="28">
        <v>901</v>
      </c>
      <c r="D92" s="36">
        <v>309</v>
      </c>
      <c r="E92" s="37" t="s">
        <v>151</v>
      </c>
      <c r="F92" s="38"/>
      <c r="G92" s="99">
        <f>SUM(G93+G97)</f>
        <v>3306</v>
      </c>
      <c r="H92" s="110">
        <f>SUM(H93+H97)</f>
        <v>3674.5499999999997</v>
      </c>
      <c r="I92" s="99">
        <f>SUM(I93+I97)</f>
        <v>3609.2999999999997</v>
      </c>
      <c r="J92" s="113"/>
      <c r="K92" s="114"/>
      <c r="L92" s="110">
        <f t="shared" si="4"/>
        <v>98.2242723598808</v>
      </c>
    </row>
    <row r="93" spans="1:12" ht="48" customHeight="1">
      <c r="A93" s="28">
        <v>86</v>
      </c>
      <c r="B93" s="19" t="s">
        <v>79</v>
      </c>
      <c r="C93" s="53">
        <v>901</v>
      </c>
      <c r="D93" s="36">
        <v>309</v>
      </c>
      <c r="E93" s="37" t="s">
        <v>165</v>
      </c>
      <c r="F93" s="38"/>
      <c r="G93" s="99">
        <f>SUM(G94:G96)</f>
        <v>3306</v>
      </c>
      <c r="H93" s="110">
        <f>SUM(H94:H96)</f>
        <v>3483.87</v>
      </c>
      <c r="I93" s="99">
        <f>SUM(I94:I96)</f>
        <v>3418.6</v>
      </c>
      <c r="J93" s="113"/>
      <c r="K93" s="114"/>
      <c r="L93" s="110">
        <f t="shared" si="4"/>
        <v>98.12650873884502</v>
      </c>
    </row>
    <row r="94" spans="1:12" ht="18" customHeight="1">
      <c r="A94" s="28">
        <v>87</v>
      </c>
      <c r="B94" s="34" t="s">
        <v>38</v>
      </c>
      <c r="C94" s="54">
        <v>901</v>
      </c>
      <c r="D94" s="39">
        <v>309</v>
      </c>
      <c r="E94" s="38" t="s">
        <v>165</v>
      </c>
      <c r="F94" s="38" t="s">
        <v>37</v>
      </c>
      <c r="G94" s="115">
        <v>2161.9</v>
      </c>
      <c r="H94" s="100">
        <f>2161.911+98.479+314.432+106.674</f>
        <v>2681.496</v>
      </c>
      <c r="I94" s="115">
        <v>2681.5</v>
      </c>
      <c r="J94" s="113"/>
      <c r="K94" s="114"/>
      <c r="L94" s="100">
        <f t="shared" si="4"/>
        <v>100.00014917046305</v>
      </c>
    </row>
    <row r="95" spans="1:12" ht="27" customHeight="1">
      <c r="A95" s="44">
        <v>88</v>
      </c>
      <c r="B95" s="34" t="s">
        <v>245</v>
      </c>
      <c r="C95" s="30">
        <v>901</v>
      </c>
      <c r="D95" s="55">
        <v>309</v>
      </c>
      <c r="E95" s="56" t="s">
        <v>165</v>
      </c>
      <c r="F95" s="56" t="s">
        <v>67</v>
      </c>
      <c r="G95" s="122">
        <v>1144.1</v>
      </c>
      <c r="H95" s="100">
        <f>1144.1-50+79.38-314.432-106.674</f>
        <v>752.374</v>
      </c>
      <c r="I95" s="122">
        <v>687.1</v>
      </c>
      <c r="J95" s="113"/>
      <c r="K95" s="114"/>
      <c r="L95" s="100">
        <f t="shared" si="4"/>
        <v>91.32426160393634</v>
      </c>
    </row>
    <row r="96" spans="1:12" ht="27" customHeight="1">
      <c r="A96" s="44">
        <v>89</v>
      </c>
      <c r="B96" s="34" t="s">
        <v>376</v>
      </c>
      <c r="C96" s="30">
        <v>901</v>
      </c>
      <c r="D96" s="55">
        <v>309</v>
      </c>
      <c r="E96" s="56" t="s">
        <v>165</v>
      </c>
      <c r="F96" s="56" t="s">
        <v>238</v>
      </c>
      <c r="G96" s="122">
        <v>0</v>
      </c>
      <c r="H96" s="100">
        <v>50</v>
      </c>
      <c r="I96" s="122">
        <v>50</v>
      </c>
      <c r="J96" s="113"/>
      <c r="K96" s="114"/>
      <c r="L96" s="100">
        <f t="shared" si="4"/>
        <v>100</v>
      </c>
    </row>
    <row r="97" spans="1:12" ht="47.25" customHeight="1">
      <c r="A97" s="44">
        <v>90</v>
      </c>
      <c r="B97" s="51" t="s">
        <v>391</v>
      </c>
      <c r="C97" s="44">
        <v>901</v>
      </c>
      <c r="D97" s="46">
        <v>309</v>
      </c>
      <c r="E97" s="47" t="s">
        <v>392</v>
      </c>
      <c r="F97" s="47"/>
      <c r="G97" s="117">
        <f>SUM(G98)</f>
        <v>0</v>
      </c>
      <c r="H97" s="118">
        <f>SUM(H98)</f>
        <v>190.68</v>
      </c>
      <c r="I97" s="117">
        <f>SUM(I98)</f>
        <v>190.7</v>
      </c>
      <c r="J97" s="119"/>
      <c r="K97" s="119"/>
      <c r="L97" s="118">
        <f>SUM(L98)</f>
        <v>100.0104887770086</v>
      </c>
    </row>
    <row r="98" spans="1:12" ht="27" customHeight="1">
      <c r="A98" s="44">
        <v>91</v>
      </c>
      <c r="B98" s="48" t="s">
        <v>245</v>
      </c>
      <c r="C98" s="49">
        <v>901</v>
      </c>
      <c r="D98" s="50">
        <v>309</v>
      </c>
      <c r="E98" s="42" t="s">
        <v>392</v>
      </c>
      <c r="F98" s="42" t="s">
        <v>67</v>
      </c>
      <c r="G98" s="116">
        <v>0</v>
      </c>
      <c r="H98" s="100">
        <v>190.68</v>
      </c>
      <c r="I98" s="116">
        <v>190.7</v>
      </c>
      <c r="J98" s="120"/>
      <c r="K98" s="120"/>
      <c r="L98" s="100">
        <f>I98/H98*100</f>
        <v>100.0104887770086</v>
      </c>
    </row>
    <row r="99" spans="1:12" ht="26.25" customHeight="1">
      <c r="A99" s="44">
        <v>92</v>
      </c>
      <c r="B99" s="19" t="s">
        <v>62</v>
      </c>
      <c r="C99" s="28">
        <v>901</v>
      </c>
      <c r="D99" s="36">
        <v>310</v>
      </c>
      <c r="E99" s="37"/>
      <c r="F99" s="38"/>
      <c r="G99" s="99">
        <f aca="true" t="shared" si="5" ref="G99:I100">SUM(G100)</f>
        <v>3943.5</v>
      </c>
      <c r="H99" s="110">
        <f t="shared" si="5"/>
        <v>4518.44881</v>
      </c>
      <c r="I99" s="99">
        <f t="shared" si="5"/>
        <v>4504.15</v>
      </c>
      <c r="J99" s="113"/>
      <c r="K99" s="114"/>
      <c r="L99" s="110">
        <f>SUM(L100)</f>
        <v>99.68354604420094</v>
      </c>
    </row>
    <row r="100" spans="1:12" ht="29.25" customHeight="1">
      <c r="A100" s="44">
        <v>93</v>
      </c>
      <c r="B100" s="19" t="s">
        <v>421</v>
      </c>
      <c r="C100" s="28">
        <v>901</v>
      </c>
      <c r="D100" s="36">
        <v>310</v>
      </c>
      <c r="E100" s="37" t="s">
        <v>166</v>
      </c>
      <c r="F100" s="38"/>
      <c r="G100" s="99">
        <f t="shared" si="5"/>
        <v>3943.5</v>
      </c>
      <c r="H100" s="110">
        <f t="shared" si="5"/>
        <v>4518.44881</v>
      </c>
      <c r="I100" s="99">
        <f t="shared" si="5"/>
        <v>4504.15</v>
      </c>
      <c r="J100" s="113"/>
      <c r="K100" s="114"/>
      <c r="L100" s="110">
        <f>SUM(L101)</f>
        <v>99.68354604420094</v>
      </c>
    </row>
    <row r="101" spans="1:12" ht="54.75" customHeight="1">
      <c r="A101" s="44">
        <v>94</v>
      </c>
      <c r="B101" s="59" t="s">
        <v>298</v>
      </c>
      <c r="C101" s="28">
        <v>901</v>
      </c>
      <c r="D101" s="36">
        <v>310</v>
      </c>
      <c r="E101" s="37" t="s">
        <v>299</v>
      </c>
      <c r="F101" s="37"/>
      <c r="G101" s="99">
        <f>SUM(G102+G104+G108+G110)</f>
        <v>3943.5</v>
      </c>
      <c r="H101" s="110">
        <f>SUM(H102+H104+H108+H110)</f>
        <v>4518.44881</v>
      </c>
      <c r="I101" s="99">
        <f>SUM(I102+I104+I108+I110)</f>
        <v>4504.15</v>
      </c>
      <c r="J101" s="113"/>
      <c r="K101" s="114"/>
      <c r="L101" s="110">
        <f>I101/H101*100</f>
        <v>99.68354604420094</v>
      </c>
    </row>
    <row r="102" spans="1:12" ht="60" customHeight="1">
      <c r="A102" s="44">
        <v>95</v>
      </c>
      <c r="B102" s="51" t="s">
        <v>255</v>
      </c>
      <c r="C102" s="28">
        <v>901</v>
      </c>
      <c r="D102" s="36">
        <v>310</v>
      </c>
      <c r="E102" s="37" t="s">
        <v>167</v>
      </c>
      <c r="F102" s="38"/>
      <c r="G102" s="99">
        <f>SUM(G103)</f>
        <v>3397</v>
      </c>
      <c r="H102" s="110">
        <f>SUM(H103:H103)</f>
        <v>4028.239</v>
      </c>
      <c r="I102" s="99">
        <f>SUM(I103)</f>
        <v>4028</v>
      </c>
      <c r="J102" s="113"/>
      <c r="K102" s="114"/>
      <c r="L102" s="110">
        <f>SUM(L103:L103)</f>
        <v>99.99406688629945</v>
      </c>
    </row>
    <row r="103" spans="1:12" ht="43.5" customHeight="1">
      <c r="A103" s="28">
        <v>96</v>
      </c>
      <c r="B103" s="34" t="s">
        <v>278</v>
      </c>
      <c r="C103" s="30">
        <v>901</v>
      </c>
      <c r="D103" s="39">
        <v>310</v>
      </c>
      <c r="E103" s="38" t="s">
        <v>167</v>
      </c>
      <c r="F103" s="38" t="s">
        <v>279</v>
      </c>
      <c r="G103" s="115">
        <v>3397</v>
      </c>
      <c r="H103" s="100">
        <f>3397+631.239</f>
        <v>4028.239</v>
      </c>
      <c r="I103" s="115">
        <v>4028</v>
      </c>
      <c r="J103" s="113"/>
      <c r="K103" s="114"/>
      <c r="L103" s="100">
        <f>I103/H103*100</f>
        <v>99.99406688629945</v>
      </c>
    </row>
    <row r="104" spans="1:12" ht="29.25" customHeight="1">
      <c r="A104" s="28">
        <v>97</v>
      </c>
      <c r="B104" s="19" t="s">
        <v>80</v>
      </c>
      <c r="C104" s="28">
        <v>901</v>
      </c>
      <c r="D104" s="36">
        <v>310</v>
      </c>
      <c r="E104" s="37" t="s">
        <v>168</v>
      </c>
      <c r="F104" s="38"/>
      <c r="G104" s="99">
        <f>SUM(G105:G107)</f>
        <v>45</v>
      </c>
      <c r="H104" s="110">
        <f>SUM(H105:H107)</f>
        <v>36.95</v>
      </c>
      <c r="I104" s="99">
        <f>SUM(I105:I107)</f>
        <v>22.95</v>
      </c>
      <c r="J104" s="113"/>
      <c r="K104" s="114"/>
      <c r="L104" s="110">
        <f>I104/H104*100</f>
        <v>62.110960757780774</v>
      </c>
    </row>
    <row r="105" spans="1:12" ht="27.75" customHeight="1">
      <c r="A105" s="28">
        <v>98</v>
      </c>
      <c r="B105" s="34" t="s">
        <v>245</v>
      </c>
      <c r="C105" s="30">
        <v>901</v>
      </c>
      <c r="D105" s="39">
        <v>310</v>
      </c>
      <c r="E105" s="38" t="s">
        <v>168</v>
      </c>
      <c r="F105" s="38" t="s">
        <v>67</v>
      </c>
      <c r="G105" s="115">
        <v>14</v>
      </c>
      <c r="H105" s="100">
        <v>14</v>
      </c>
      <c r="I105" s="115">
        <v>0</v>
      </c>
      <c r="J105" s="113"/>
      <c r="K105" s="114"/>
      <c r="L105" s="100">
        <v>0</v>
      </c>
    </row>
    <row r="106" spans="1:12" ht="32.25" customHeight="1">
      <c r="A106" s="28"/>
      <c r="B106" s="34" t="s">
        <v>278</v>
      </c>
      <c r="C106" s="30">
        <v>901</v>
      </c>
      <c r="D106" s="39">
        <v>310</v>
      </c>
      <c r="E106" s="38" t="s">
        <v>168</v>
      </c>
      <c r="F106" s="38" t="s">
        <v>279</v>
      </c>
      <c r="G106" s="115">
        <v>0</v>
      </c>
      <c r="H106" s="100">
        <v>22.95</v>
      </c>
      <c r="I106" s="115">
        <v>22.95</v>
      </c>
      <c r="J106" s="113"/>
      <c r="K106" s="114"/>
      <c r="L106" s="100">
        <f>I106/H106*100</f>
        <v>100</v>
      </c>
    </row>
    <row r="107" spans="1:12" ht="42.75" customHeight="1">
      <c r="A107" s="28">
        <v>99</v>
      </c>
      <c r="B107" s="34" t="s">
        <v>249</v>
      </c>
      <c r="C107" s="30">
        <v>901</v>
      </c>
      <c r="D107" s="39">
        <v>310</v>
      </c>
      <c r="E107" s="38" t="s">
        <v>168</v>
      </c>
      <c r="F107" s="38" t="s">
        <v>47</v>
      </c>
      <c r="G107" s="115">
        <v>31</v>
      </c>
      <c r="H107" s="100">
        <f>31-8.05-22.95</f>
        <v>0</v>
      </c>
      <c r="I107" s="115">
        <v>0</v>
      </c>
      <c r="J107" s="119"/>
      <c r="K107" s="112"/>
      <c r="L107" s="100">
        <f>31-8.05-22.95</f>
        <v>0</v>
      </c>
    </row>
    <row r="108" spans="1:12" ht="27.75" customHeight="1">
      <c r="A108" s="28">
        <v>100</v>
      </c>
      <c r="B108" s="57" t="s">
        <v>251</v>
      </c>
      <c r="C108" s="28">
        <v>901</v>
      </c>
      <c r="D108" s="36">
        <v>310</v>
      </c>
      <c r="E108" s="37" t="s">
        <v>250</v>
      </c>
      <c r="F108" s="37"/>
      <c r="G108" s="99">
        <f>SUM(G109)</f>
        <v>371.5</v>
      </c>
      <c r="H108" s="110">
        <f>SUM(H109)</f>
        <v>339.73181</v>
      </c>
      <c r="I108" s="99">
        <f>SUM(I109)</f>
        <v>339.7</v>
      </c>
      <c r="J108" s="119"/>
      <c r="K108" s="112"/>
      <c r="L108" s="110">
        <f>SUM(L109)</f>
        <v>99.9906367319563</v>
      </c>
    </row>
    <row r="109" spans="1:12" ht="25.5" customHeight="1">
      <c r="A109" s="28">
        <v>101</v>
      </c>
      <c r="B109" s="34" t="s">
        <v>245</v>
      </c>
      <c r="C109" s="30">
        <v>901</v>
      </c>
      <c r="D109" s="39">
        <v>310</v>
      </c>
      <c r="E109" s="38" t="s">
        <v>250</v>
      </c>
      <c r="F109" s="38" t="s">
        <v>67</v>
      </c>
      <c r="G109" s="115">
        <v>371.5</v>
      </c>
      <c r="H109" s="100">
        <f>371.5-31.045-0.25964-0.46355</f>
        <v>339.73181</v>
      </c>
      <c r="I109" s="115">
        <v>339.7</v>
      </c>
      <c r="J109" s="119"/>
      <c r="K109" s="112"/>
      <c r="L109" s="100">
        <f>I109/H109*100</f>
        <v>99.9906367319563</v>
      </c>
    </row>
    <row r="110" spans="1:12" ht="25.5" customHeight="1">
      <c r="A110" s="44">
        <v>102</v>
      </c>
      <c r="B110" s="19" t="s">
        <v>276</v>
      </c>
      <c r="C110" s="28">
        <v>901</v>
      </c>
      <c r="D110" s="36">
        <v>310</v>
      </c>
      <c r="E110" s="37" t="s">
        <v>277</v>
      </c>
      <c r="F110" s="37"/>
      <c r="G110" s="99">
        <f>SUM(G111)</f>
        <v>130</v>
      </c>
      <c r="H110" s="110">
        <f>SUM(H111)</f>
        <v>113.528</v>
      </c>
      <c r="I110" s="99">
        <f>SUM(I111)</f>
        <v>113.5</v>
      </c>
      <c r="J110" s="119"/>
      <c r="K110" s="112"/>
      <c r="L110" s="110">
        <f>SUM(L111)</f>
        <v>99.97533648086815</v>
      </c>
    </row>
    <row r="111" spans="1:12" ht="25.5" customHeight="1">
      <c r="A111" s="28">
        <v>103</v>
      </c>
      <c r="B111" s="34" t="s">
        <v>245</v>
      </c>
      <c r="C111" s="30">
        <v>901</v>
      </c>
      <c r="D111" s="39">
        <v>310</v>
      </c>
      <c r="E111" s="38" t="s">
        <v>277</v>
      </c>
      <c r="F111" s="38" t="s">
        <v>67</v>
      </c>
      <c r="G111" s="115">
        <v>130</v>
      </c>
      <c r="H111" s="100">
        <f>130-14.937-1.535</f>
        <v>113.528</v>
      </c>
      <c r="I111" s="115">
        <v>113.5</v>
      </c>
      <c r="J111" s="119"/>
      <c r="K111" s="112"/>
      <c r="L111" s="100">
        <f>I111/H111*100</f>
        <v>99.97533648086815</v>
      </c>
    </row>
    <row r="112" spans="1:12" ht="30.75" customHeight="1">
      <c r="A112" s="28">
        <v>104</v>
      </c>
      <c r="B112" s="19" t="s">
        <v>60</v>
      </c>
      <c r="C112" s="28">
        <v>901</v>
      </c>
      <c r="D112" s="36">
        <v>314</v>
      </c>
      <c r="E112" s="37"/>
      <c r="F112" s="38"/>
      <c r="G112" s="99">
        <f>SUM(G113+G115+G120+G125)</f>
        <v>90</v>
      </c>
      <c r="H112" s="110">
        <f>SUM(H113+H115+H120+H125+H130)</f>
        <v>90</v>
      </c>
      <c r="I112" s="99">
        <f>SUM(I113+I115+I120+I125)</f>
        <v>68.4</v>
      </c>
      <c r="J112" s="113"/>
      <c r="K112" s="114"/>
      <c r="L112" s="110">
        <f>I112/H112*100</f>
        <v>76</v>
      </c>
    </row>
    <row r="113" spans="1:12" ht="57" customHeight="1">
      <c r="A113" s="28">
        <v>105</v>
      </c>
      <c r="B113" s="19" t="s">
        <v>424</v>
      </c>
      <c r="C113" s="28">
        <v>901</v>
      </c>
      <c r="D113" s="36">
        <v>314</v>
      </c>
      <c r="E113" s="37" t="s">
        <v>169</v>
      </c>
      <c r="F113" s="38"/>
      <c r="G113" s="99">
        <f>SUM(G114)</f>
        <v>20</v>
      </c>
      <c r="H113" s="110">
        <f>H114</f>
        <v>20</v>
      </c>
      <c r="I113" s="99">
        <f>SUM(I114)</f>
        <v>16.4</v>
      </c>
      <c r="J113" s="113"/>
      <c r="K113" s="114"/>
      <c r="L113" s="110">
        <f>L114</f>
        <v>82</v>
      </c>
    </row>
    <row r="114" spans="1:12" ht="29.25" customHeight="1">
      <c r="A114" s="28">
        <v>106</v>
      </c>
      <c r="B114" s="34" t="s">
        <v>245</v>
      </c>
      <c r="C114" s="30">
        <v>901</v>
      </c>
      <c r="D114" s="39">
        <v>314</v>
      </c>
      <c r="E114" s="38" t="s">
        <v>169</v>
      </c>
      <c r="F114" s="38" t="s">
        <v>67</v>
      </c>
      <c r="G114" s="115">
        <v>20</v>
      </c>
      <c r="H114" s="100">
        <v>20</v>
      </c>
      <c r="I114" s="115">
        <v>16.4</v>
      </c>
      <c r="J114" s="113"/>
      <c r="K114" s="114"/>
      <c r="L114" s="100">
        <f>I114/H114*100</f>
        <v>82</v>
      </c>
    </row>
    <row r="115" spans="1:12" ht="45" customHeight="1">
      <c r="A115" s="28">
        <v>107</v>
      </c>
      <c r="B115" s="19" t="s">
        <v>256</v>
      </c>
      <c r="C115" s="28">
        <v>901</v>
      </c>
      <c r="D115" s="36">
        <v>314</v>
      </c>
      <c r="E115" s="37" t="s">
        <v>260</v>
      </c>
      <c r="F115" s="37"/>
      <c r="G115" s="99">
        <f>SUM(G116+G118)</f>
        <v>20</v>
      </c>
      <c r="H115" s="110">
        <f>SUM(H116+H118)</f>
        <v>20</v>
      </c>
      <c r="I115" s="99">
        <f>SUM(I116+I118)</f>
        <v>15</v>
      </c>
      <c r="J115" s="113"/>
      <c r="K115" s="114"/>
      <c r="L115" s="110">
        <f>I115/H115*100</f>
        <v>75</v>
      </c>
    </row>
    <row r="116" spans="1:12" ht="58.5" customHeight="1">
      <c r="A116" s="28">
        <v>108</v>
      </c>
      <c r="B116" s="59" t="s">
        <v>300</v>
      </c>
      <c r="C116" s="28">
        <v>901</v>
      </c>
      <c r="D116" s="36">
        <v>314</v>
      </c>
      <c r="E116" s="37" t="s">
        <v>261</v>
      </c>
      <c r="F116" s="37"/>
      <c r="G116" s="99">
        <f>SUM(G117)</f>
        <v>10</v>
      </c>
      <c r="H116" s="110">
        <f>SUM(H117)</f>
        <v>10</v>
      </c>
      <c r="I116" s="99">
        <f>SUM(I117)</f>
        <v>10</v>
      </c>
      <c r="J116" s="113"/>
      <c r="K116" s="114"/>
      <c r="L116" s="110">
        <f>SUM(L117)</f>
        <v>100</v>
      </c>
    </row>
    <row r="117" spans="1:12" ht="29.25" customHeight="1">
      <c r="A117" s="28">
        <v>109</v>
      </c>
      <c r="B117" s="34" t="s">
        <v>245</v>
      </c>
      <c r="C117" s="30">
        <v>901</v>
      </c>
      <c r="D117" s="39">
        <v>314</v>
      </c>
      <c r="E117" s="38" t="s">
        <v>261</v>
      </c>
      <c r="F117" s="38" t="s">
        <v>67</v>
      </c>
      <c r="G117" s="115">
        <v>10</v>
      </c>
      <c r="H117" s="100">
        <v>10</v>
      </c>
      <c r="I117" s="115">
        <v>10</v>
      </c>
      <c r="J117" s="113"/>
      <c r="K117" s="114"/>
      <c r="L117" s="100">
        <f>I117/H117*100</f>
        <v>100</v>
      </c>
    </row>
    <row r="118" spans="1:12" ht="29.25" customHeight="1">
      <c r="A118" s="28">
        <v>110</v>
      </c>
      <c r="B118" s="59" t="s">
        <v>257</v>
      </c>
      <c r="C118" s="28">
        <v>901</v>
      </c>
      <c r="D118" s="36">
        <v>314</v>
      </c>
      <c r="E118" s="37" t="s">
        <v>262</v>
      </c>
      <c r="F118" s="37"/>
      <c r="G118" s="99">
        <f>SUM(G119)</f>
        <v>10</v>
      </c>
      <c r="H118" s="110">
        <f>SUM(H119)</f>
        <v>10</v>
      </c>
      <c r="I118" s="99">
        <f>SUM(I119)</f>
        <v>5</v>
      </c>
      <c r="J118" s="113"/>
      <c r="K118" s="114"/>
      <c r="L118" s="110">
        <f>SUM(L119)</f>
        <v>50</v>
      </c>
    </row>
    <row r="119" spans="1:12" ht="29.25" customHeight="1">
      <c r="A119" s="28">
        <v>111</v>
      </c>
      <c r="B119" s="34" t="s">
        <v>245</v>
      </c>
      <c r="C119" s="30">
        <v>901</v>
      </c>
      <c r="D119" s="39">
        <v>314</v>
      </c>
      <c r="E119" s="38" t="s">
        <v>262</v>
      </c>
      <c r="F119" s="38" t="s">
        <v>67</v>
      </c>
      <c r="G119" s="115">
        <v>10</v>
      </c>
      <c r="H119" s="100">
        <v>10</v>
      </c>
      <c r="I119" s="115">
        <v>5</v>
      </c>
      <c r="J119" s="113"/>
      <c r="K119" s="114"/>
      <c r="L119" s="100">
        <f>I119/H119*100</f>
        <v>50</v>
      </c>
    </row>
    <row r="120" spans="1:12" ht="60.75" customHeight="1">
      <c r="A120" s="28">
        <v>112</v>
      </c>
      <c r="B120" s="58" t="s">
        <v>435</v>
      </c>
      <c r="C120" s="28">
        <v>901</v>
      </c>
      <c r="D120" s="36">
        <v>314</v>
      </c>
      <c r="E120" s="37" t="s">
        <v>263</v>
      </c>
      <c r="F120" s="37"/>
      <c r="G120" s="99">
        <f>SUM(G121+G123)</f>
        <v>8</v>
      </c>
      <c r="H120" s="110">
        <f>SUM(H121+H123)</f>
        <v>8</v>
      </c>
      <c r="I120" s="99">
        <f>SUM(I121+I123)</f>
        <v>8</v>
      </c>
      <c r="J120" s="113"/>
      <c r="K120" s="114"/>
      <c r="L120" s="110">
        <f>I120/H120*100</f>
        <v>100</v>
      </c>
    </row>
    <row r="121" spans="1:12" ht="29.25" customHeight="1">
      <c r="A121" s="28">
        <v>113</v>
      </c>
      <c r="B121" s="59" t="s">
        <v>258</v>
      </c>
      <c r="C121" s="28">
        <v>901</v>
      </c>
      <c r="D121" s="36">
        <v>314</v>
      </c>
      <c r="E121" s="37" t="s">
        <v>264</v>
      </c>
      <c r="F121" s="37"/>
      <c r="G121" s="99">
        <f>SUM(G122)</f>
        <v>2</v>
      </c>
      <c r="H121" s="110">
        <f>SUM(H122)</f>
        <v>2</v>
      </c>
      <c r="I121" s="99">
        <f>SUM(I122)</f>
        <v>2</v>
      </c>
      <c r="J121" s="113"/>
      <c r="K121" s="114"/>
      <c r="L121" s="110">
        <f>SUM(L122)</f>
        <v>100</v>
      </c>
    </row>
    <row r="122" spans="1:12" ht="29.25" customHeight="1">
      <c r="A122" s="28">
        <v>114</v>
      </c>
      <c r="B122" s="34" t="s">
        <v>245</v>
      </c>
      <c r="C122" s="30">
        <v>901</v>
      </c>
      <c r="D122" s="39">
        <v>314</v>
      </c>
      <c r="E122" s="38" t="s">
        <v>264</v>
      </c>
      <c r="F122" s="38" t="s">
        <v>67</v>
      </c>
      <c r="G122" s="115">
        <v>2</v>
      </c>
      <c r="H122" s="100">
        <v>2</v>
      </c>
      <c r="I122" s="115">
        <v>2</v>
      </c>
      <c r="J122" s="113"/>
      <c r="K122" s="114"/>
      <c r="L122" s="100">
        <f>I122/H122*100</f>
        <v>100</v>
      </c>
    </row>
    <row r="123" spans="1:12" ht="53.25" customHeight="1">
      <c r="A123" s="28">
        <v>115</v>
      </c>
      <c r="B123" s="59" t="s">
        <v>259</v>
      </c>
      <c r="C123" s="28">
        <v>901</v>
      </c>
      <c r="D123" s="36">
        <v>314</v>
      </c>
      <c r="E123" s="37" t="s">
        <v>265</v>
      </c>
      <c r="F123" s="37"/>
      <c r="G123" s="99">
        <f>SUM(G124)</f>
        <v>6</v>
      </c>
      <c r="H123" s="110">
        <f>SUM(H124)</f>
        <v>6</v>
      </c>
      <c r="I123" s="99">
        <f>SUM(I124)</f>
        <v>6</v>
      </c>
      <c r="J123" s="113"/>
      <c r="K123" s="114"/>
      <c r="L123" s="110">
        <f>SUM(L124)</f>
        <v>100</v>
      </c>
    </row>
    <row r="124" spans="1:12" ht="29.25" customHeight="1">
      <c r="A124" s="28">
        <v>116</v>
      </c>
      <c r="B124" s="34" t="s">
        <v>245</v>
      </c>
      <c r="C124" s="30">
        <v>901</v>
      </c>
      <c r="D124" s="39">
        <v>314</v>
      </c>
      <c r="E124" s="38" t="s">
        <v>265</v>
      </c>
      <c r="F124" s="38" t="s">
        <v>67</v>
      </c>
      <c r="G124" s="115">
        <v>6</v>
      </c>
      <c r="H124" s="100">
        <v>6</v>
      </c>
      <c r="I124" s="115">
        <v>6</v>
      </c>
      <c r="J124" s="113"/>
      <c r="K124" s="114"/>
      <c r="L124" s="100">
        <f>I124/H124*100</f>
        <v>100</v>
      </c>
    </row>
    <row r="125" spans="1:13" ht="43.5" customHeight="1">
      <c r="A125" s="28">
        <v>117</v>
      </c>
      <c r="B125" s="19" t="s">
        <v>283</v>
      </c>
      <c r="C125" s="28">
        <v>901</v>
      </c>
      <c r="D125" s="36">
        <v>314</v>
      </c>
      <c r="E125" s="37" t="s">
        <v>286</v>
      </c>
      <c r="F125" s="37"/>
      <c r="G125" s="99">
        <f>SUM(G126+G128)</f>
        <v>42</v>
      </c>
      <c r="H125" s="110">
        <f>SUM(H126+H128)</f>
        <v>42</v>
      </c>
      <c r="I125" s="99">
        <f>SUM(I126+I128)</f>
        <v>29</v>
      </c>
      <c r="J125" s="111"/>
      <c r="K125" s="112"/>
      <c r="L125" s="110">
        <f>I125/H125*100</f>
        <v>69.04761904761905</v>
      </c>
      <c r="M125" s="8"/>
    </row>
    <row r="126" spans="1:12" ht="44.25" customHeight="1">
      <c r="A126" s="28">
        <v>118</v>
      </c>
      <c r="B126" s="19" t="s">
        <v>284</v>
      </c>
      <c r="C126" s="28">
        <v>901</v>
      </c>
      <c r="D126" s="36">
        <v>314</v>
      </c>
      <c r="E126" s="37" t="s">
        <v>287</v>
      </c>
      <c r="F126" s="37"/>
      <c r="G126" s="99">
        <f>SUM(G127)</f>
        <v>21</v>
      </c>
      <c r="H126" s="110">
        <f>SUM(H127)</f>
        <v>21</v>
      </c>
      <c r="I126" s="99">
        <f>SUM(I127)</f>
        <v>21</v>
      </c>
      <c r="J126" s="111"/>
      <c r="K126" s="112"/>
      <c r="L126" s="110">
        <f>SUM(L127)</f>
        <v>100</v>
      </c>
    </row>
    <row r="127" spans="1:12" ht="29.25" customHeight="1">
      <c r="A127" s="28">
        <v>119</v>
      </c>
      <c r="B127" s="34" t="s">
        <v>245</v>
      </c>
      <c r="C127" s="30">
        <v>901</v>
      </c>
      <c r="D127" s="39">
        <v>314</v>
      </c>
      <c r="E127" s="38" t="s">
        <v>287</v>
      </c>
      <c r="F127" s="38" t="s">
        <v>67</v>
      </c>
      <c r="G127" s="115">
        <v>21</v>
      </c>
      <c r="H127" s="100">
        <v>21</v>
      </c>
      <c r="I127" s="115">
        <v>21</v>
      </c>
      <c r="J127" s="113"/>
      <c r="K127" s="114"/>
      <c r="L127" s="100">
        <f>I127/H127*100</f>
        <v>100</v>
      </c>
    </row>
    <row r="128" spans="1:12" ht="29.25" customHeight="1">
      <c r="A128" s="28">
        <v>120</v>
      </c>
      <c r="B128" s="19" t="s">
        <v>285</v>
      </c>
      <c r="C128" s="28">
        <v>901</v>
      </c>
      <c r="D128" s="36">
        <v>314</v>
      </c>
      <c r="E128" s="37" t="s">
        <v>288</v>
      </c>
      <c r="F128" s="37"/>
      <c r="G128" s="99">
        <f>SUM(G129)</f>
        <v>21</v>
      </c>
      <c r="H128" s="110">
        <f>SUM(H129)</f>
        <v>21</v>
      </c>
      <c r="I128" s="99">
        <f>SUM(I129)</f>
        <v>8</v>
      </c>
      <c r="J128" s="111"/>
      <c r="K128" s="112"/>
      <c r="L128" s="110">
        <f>SUM(L129)</f>
        <v>38.095238095238095</v>
      </c>
    </row>
    <row r="129" spans="1:12" ht="29.25" customHeight="1">
      <c r="A129" s="28">
        <v>121</v>
      </c>
      <c r="B129" s="34" t="s">
        <v>245</v>
      </c>
      <c r="C129" s="30">
        <v>901</v>
      </c>
      <c r="D129" s="39">
        <v>314</v>
      </c>
      <c r="E129" s="38" t="s">
        <v>288</v>
      </c>
      <c r="F129" s="38" t="s">
        <v>67</v>
      </c>
      <c r="G129" s="115">
        <v>21</v>
      </c>
      <c r="H129" s="100">
        <v>21</v>
      </c>
      <c r="I129" s="115">
        <v>8</v>
      </c>
      <c r="J129" s="113"/>
      <c r="K129" s="114"/>
      <c r="L129" s="100">
        <f>I129/H129*100</f>
        <v>38.095238095238095</v>
      </c>
    </row>
    <row r="130" spans="1:12" ht="48.75" customHeight="1">
      <c r="A130" s="28">
        <v>122</v>
      </c>
      <c r="B130" s="60" t="s">
        <v>443</v>
      </c>
      <c r="C130" s="44">
        <v>901</v>
      </c>
      <c r="D130" s="46">
        <v>314</v>
      </c>
      <c r="E130" s="47" t="s">
        <v>444</v>
      </c>
      <c r="F130" s="47"/>
      <c r="G130" s="117">
        <v>0</v>
      </c>
      <c r="H130" s="118">
        <v>0</v>
      </c>
      <c r="I130" s="117">
        <v>0</v>
      </c>
      <c r="J130" s="119"/>
      <c r="K130" s="119"/>
      <c r="L130" s="118">
        <v>0</v>
      </c>
    </row>
    <row r="131" spans="1:12" ht="13.5">
      <c r="A131" s="28">
        <v>123</v>
      </c>
      <c r="B131" s="19" t="s">
        <v>11</v>
      </c>
      <c r="C131" s="28">
        <v>901</v>
      </c>
      <c r="D131" s="36">
        <v>400</v>
      </c>
      <c r="E131" s="37"/>
      <c r="F131" s="38"/>
      <c r="G131" s="99">
        <f>SUM(G132+G136+G141+G145+G155+G162)</f>
        <v>15081.9</v>
      </c>
      <c r="H131" s="110">
        <f>SUM(H132+H136+H141+H145+H155+H162)</f>
        <v>16776.58957</v>
      </c>
      <c r="I131" s="99">
        <f>SUM(I132+I136+I141+I145+I155+I162)</f>
        <v>14733.55</v>
      </c>
      <c r="J131" s="113"/>
      <c r="K131" s="114"/>
      <c r="L131" s="110">
        <f>I131/H131*100</f>
        <v>87.8220805159746</v>
      </c>
    </row>
    <row r="132" spans="1:12" ht="21.75" customHeight="1">
      <c r="A132" s="28">
        <v>124</v>
      </c>
      <c r="B132" s="19" t="s">
        <v>135</v>
      </c>
      <c r="C132" s="28">
        <v>901</v>
      </c>
      <c r="D132" s="36">
        <v>405</v>
      </c>
      <c r="E132" s="37"/>
      <c r="F132" s="38"/>
      <c r="G132" s="99">
        <f aca="true" t="shared" si="6" ref="G132:I134">SUM(G133)</f>
        <v>139</v>
      </c>
      <c r="H132" s="110">
        <f t="shared" si="6"/>
        <v>139</v>
      </c>
      <c r="I132" s="99">
        <f t="shared" si="6"/>
        <v>127.6</v>
      </c>
      <c r="J132" s="113"/>
      <c r="K132" s="114"/>
      <c r="L132" s="110">
        <f>SUM(L133)</f>
        <v>91.79856115107913</v>
      </c>
    </row>
    <row r="133" spans="1:12" ht="40.5">
      <c r="A133" s="28">
        <v>125</v>
      </c>
      <c r="B133" s="19" t="s">
        <v>433</v>
      </c>
      <c r="C133" s="28">
        <v>901</v>
      </c>
      <c r="D133" s="36">
        <v>405</v>
      </c>
      <c r="E133" s="37" t="s">
        <v>434</v>
      </c>
      <c r="F133" s="38"/>
      <c r="G133" s="99">
        <f t="shared" si="6"/>
        <v>139</v>
      </c>
      <c r="H133" s="110">
        <f t="shared" si="6"/>
        <v>139</v>
      </c>
      <c r="I133" s="99">
        <f t="shared" si="6"/>
        <v>127.6</v>
      </c>
      <c r="J133" s="113"/>
      <c r="K133" s="114"/>
      <c r="L133" s="110">
        <f>SUM(L134)</f>
        <v>91.79856115107913</v>
      </c>
    </row>
    <row r="134" spans="1:12" ht="41.25" customHeight="1">
      <c r="A134" s="28">
        <v>126</v>
      </c>
      <c r="B134" s="59" t="s">
        <v>301</v>
      </c>
      <c r="C134" s="28">
        <v>901</v>
      </c>
      <c r="D134" s="36">
        <v>405</v>
      </c>
      <c r="E134" s="37" t="s">
        <v>170</v>
      </c>
      <c r="F134" s="37"/>
      <c r="G134" s="99">
        <f t="shared" si="6"/>
        <v>139</v>
      </c>
      <c r="H134" s="110">
        <f t="shared" si="6"/>
        <v>139</v>
      </c>
      <c r="I134" s="99">
        <f t="shared" si="6"/>
        <v>127.6</v>
      </c>
      <c r="J134" s="113"/>
      <c r="K134" s="114"/>
      <c r="L134" s="110">
        <f>SUM(L135)</f>
        <v>91.79856115107913</v>
      </c>
    </row>
    <row r="135" spans="1:12" ht="30" customHeight="1">
      <c r="A135" s="28">
        <v>127</v>
      </c>
      <c r="B135" s="34" t="s">
        <v>245</v>
      </c>
      <c r="C135" s="30">
        <v>901</v>
      </c>
      <c r="D135" s="39">
        <v>405</v>
      </c>
      <c r="E135" s="38" t="s">
        <v>170</v>
      </c>
      <c r="F135" s="38" t="s">
        <v>67</v>
      </c>
      <c r="G135" s="115">
        <v>139</v>
      </c>
      <c r="H135" s="100">
        <v>139</v>
      </c>
      <c r="I135" s="115">
        <v>127.6</v>
      </c>
      <c r="J135" s="113"/>
      <c r="K135" s="114"/>
      <c r="L135" s="100">
        <f>I135/H135*100</f>
        <v>91.79856115107913</v>
      </c>
    </row>
    <row r="136" spans="1:12" ht="21.75" customHeight="1">
      <c r="A136" s="28">
        <v>128</v>
      </c>
      <c r="B136" s="19" t="s">
        <v>302</v>
      </c>
      <c r="C136" s="28">
        <v>901</v>
      </c>
      <c r="D136" s="36">
        <v>406</v>
      </c>
      <c r="E136" s="37"/>
      <c r="F136" s="37"/>
      <c r="G136" s="99">
        <f aca="true" t="shared" si="7" ref="G136:I139">SUM(G137)</f>
        <v>100</v>
      </c>
      <c r="H136" s="110">
        <f t="shared" si="7"/>
        <v>59.51</v>
      </c>
      <c r="I136" s="99">
        <f t="shared" si="7"/>
        <v>59.5</v>
      </c>
      <c r="J136" s="111"/>
      <c r="K136" s="112"/>
      <c r="L136" s="110">
        <f>SUM(L137)</f>
        <v>99.98319610149555</v>
      </c>
    </row>
    <row r="137" spans="1:12" ht="41.25" customHeight="1">
      <c r="A137" s="28">
        <v>129</v>
      </c>
      <c r="B137" s="19" t="s">
        <v>422</v>
      </c>
      <c r="C137" s="28">
        <v>901</v>
      </c>
      <c r="D137" s="36">
        <v>406</v>
      </c>
      <c r="E137" s="37" t="s">
        <v>166</v>
      </c>
      <c r="F137" s="37"/>
      <c r="G137" s="99">
        <f t="shared" si="7"/>
        <v>100</v>
      </c>
      <c r="H137" s="110">
        <f t="shared" si="7"/>
        <v>59.51</v>
      </c>
      <c r="I137" s="99">
        <f t="shared" si="7"/>
        <v>59.5</v>
      </c>
      <c r="J137" s="111"/>
      <c r="K137" s="112"/>
      <c r="L137" s="110">
        <f>SUM(L138)</f>
        <v>99.98319610149555</v>
      </c>
    </row>
    <row r="138" spans="1:12" ht="51.75" customHeight="1">
      <c r="A138" s="28">
        <v>130</v>
      </c>
      <c r="B138" s="59" t="s">
        <v>298</v>
      </c>
      <c r="C138" s="28">
        <v>901</v>
      </c>
      <c r="D138" s="36">
        <v>406</v>
      </c>
      <c r="E138" s="37" t="s">
        <v>299</v>
      </c>
      <c r="F138" s="37"/>
      <c r="G138" s="99">
        <f t="shared" si="7"/>
        <v>100</v>
      </c>
      <c r="H138" s="110">
        <f t="shared" si="7"/>
        <v>59.51</v>
      </c>
      <c r="I138" s="99">
        <f t="shared" si="7"/>
        <v>59.5</v>
      </c>
      <c r="J138" s="111"/>
      <c r="K138" s="112"/>
      <c r="L138" s="110">
        <f>SUM(L139)</f>
        <v>99.98319610149555</v>
      </c>
    </row>
    <row r="139" spans="1:12" ht="30" customHeight="1">
      <c r="A139" s="28">
        <v>131</v>
      </c>
      <c r="B139" s="28" t="s">
        <v>303</v>
      </c>
      <c r="C139" s="28">
        <v>901</v>
      </c>
      <c r="D139" s="36">
        <v>406</v>
      </c>
      <c r="E139" s="37" t="s">
        <v>304</v>
      </c>
      <c r="F139" s="37"/>
      <c r="G139" s="99">
        <f t="shared" si="7"/>
        <v>100</v>
      </c>
      <c r="H139" s="110">
        <f t="shared" si="7"/>
        <v>59.51</v>
      </c>
      <c r="I139" s="99">
        <f t="shared" si="7"/>
        <v>59.5</v>
      </c>
      <c r="J139" s="111"/>
      <c r="K139" s="112"/>
      <c r="L139" s="110">
        <f>SUM(L140)</f>
        <v>99.98319610149555</v>
      </c>
    </row>
    <row r="140" spans="1:12" ht="30" customHeight="1">
      <c r="A140" s="28">
        <v>132</v>
      </c>
      <c r="B140" s="34" t="s">
        <v>245</v>
      </c>
      <c r="C140" s="30">
        <v>901</v>
      </c>
      <c r="D140" s="39">
        <v>406</v>
      </c>
      <c r="E140" s="38" t="s">
        <v>304</v>
      </c>
      <c r="F140" s="38" t="s">
        <v>67</v>
      </c>
      <c r="G140" s="115">
        <v>100</v>
      </c>
      <c r="H140" s="100">
        <f>100-40.49</f>
        <v>59.51</v>
      </c>
      <c r="I140" s="115">
        <v>59.5</v>
      </c>
      <c r="J140" s="113"/>
      <c r="K140" s="114"/>
      <c r="L140" s="100">
        <f>I140/H140*100</f>
        <v>99.98319610149555</v>
      </c>
    </row>
    <row r="141" spans="1:12" ht="13.5">
      <c r="A141" s="28">
        <v>133</v>
      </c>
      <c r="B141" s="19" t="s">
        <v>12</v>
      </c>
      <c r="C141" s="28">
        <v>901</v>
      </c>
      <c r="D141" s="36">
        <v>408</v>
      </c>
      <c r="E141" s="37"/>
      <c r="F141" s="38"/>
      <c r="G141" s="99">
        <f aca="true" t="shared" si="8" ref="G141:I142">SUM(G142)</f>
        <v>6405</v>
      </c>
      <c r="H141" s="110">
        <f t="shared" si="8"/>
        <v>6405</v>
      </c>
      <c r="I141" s="99">
        <f t="shared" si="8"/>
        <v>6405</v>
      </c>
      <c r="J141" s="113"/>
      <c r="K141" s="114"/>
      <c r="L141" s="110">
        <f>SUM(L142)</f>
        <v>100</v>
      </c>
    </row>
    <row r="142" spans="1:12" ht="43.5" customHeight="1">
      <c r="A142" s="28">
        <v>134</v>
      </c>
      <c r="B142" s="19" t="s">
        <v>456</v>
      </c>
      <c r="C142" s="28">
        <v>901</v>
      </c>
      <c r="D142" s="36">
        <v>408</v>
      </c>
      <c r="E142" s="61" t="s">
        <v>171</v>
      </c>
      <c r="F142" s="42"/>
      <c r="G142" s="117">
        <f t="shared" si="8"/>
        <v>6405</v>
      </c>
      <c r="H142" s="110">
        <f t="shared" si="8"/>
        <v>6405</v>
      </c>
      <c r="I142" s="117">
        <f t="shared" si="8"/>
        <v>6405</v>
      </c>
      <c r="J142" s="113"/>
      <c r="K142" s="114"/>
      <c r="L142" s="110">
        <f>SUM(L143)</f>
        <v>100</v>
      </c>
    </row>
    <row r="143" spans="1:12" ht="35.25" customHeight="1">
      <c r="A143" s="28">
        <v>135</v>
      </c>
      <c r="B143" s="19" t="s">
        <v>81</v>
      </c>
      <c r="C143" s="28">
        <v>901</v>
      </c>
      <c r="D143" s="36">
        <v>408</v>
      </c>
      <c r="E143" s="61" t="s">
        <v>172</v>
      </c>
      <c r="F143" s="38"/>
      <c r="G143" s="99">
        <f>SUM(G144)</f>
        <v>6405</v>
      </c>
      <c r="H143" s="110">
        <f>H144</f>
        <v>6405</v>
      </c>
      <c r="I143" s="99">
        <f>SUM(I144)</f>
        <v>6405</v>
      </c>
      <c r="J143" s="113"/>
      <c r="K143" s="114"/>
      <c r="L143" s="110">
        <f>L144</f>
        <v>100</v>
      </c>
    </row>
    <row r="144" spans="1:12" ht="39" customHeight="1">
      <c r="A144" s="28">
        <v>136</v>
      </c>
      <c r="B144" s="34" t="s">
        <v>249</v>
      </c>
      <c r="C144" s="30">
        <v>901</v>
      </c>
      <c r="D144" s="39">
        <v>408</v>
      </c>
      <c r="E144" s="56" t="s">
        <v>172</v>
      </c>
      <c r="F144" s="38" t="s">
        <v>47</v>
      </c>
      <c r="G144" s="115">
        <v>6405</v>
      </c>
      <c r="H144" s="100">
        <v>6405</v>
      </c>
      <c r="I144" s="115">
        <v>6405</v>
      </c>
      <c r="J144" s="113"/>
      <c r="K144" s="114"/>
      <c r="L144" s="100">
        <f>I144/H144*100</f>
        <v>100</v>
      </c>
    </row>
    <row r="145" spans="1:12" ht="19.5" customHeight="1">
      <c r="A145" s="28">
        <v>137</v>
      </c>
      <c r="B145" s="19" t="s">
        <v>48</v>
      </c>
      <c r="C145" s="28">
        <v>901</v>
      </c>
      <c r="D145" s="36">
        <v>409</v>
      </c>
      <c r="E145" s="37"/>
      <c r="F145" s="38"/>
      <c r="G145" s="99">
        <f>SUM(G146)</f>
        <v>6674.9</v>
      </c>
      <c r="H145" s="118">
        <f>SUM(H146)</f>
        <v>8541.577570000001</v>
      </c>
      <c r="I145" s="99">
        <f>SUM(I146)</f>
        <v>7452.7</v>
      </c>
      <c r="J145" s="113"/>
      <c r="K145" s="114"/>
      <c r="L145" s="118">
        <f>SUM(L146)</f>
        <v>87.25203206226925</v>
      </c>
    </row>
    <row r="146" spans="1:12" ht="40.5" customHeight="1">
      <c r="A146" s="28">
        <v>138</v>
      </c>
      <c r="B146" s="19" t="s">
        <v>456</v>
      </c>
      <c r="C146" s="28">
        <v>901</v>
      </c>
      <c r="D146" s="36">
        <v>409</v>
      </c>
      <c r="E146" s="37" t="s">
        <v>171</v>
      </c>
      <c r="F146" s="38"/>
      <c r="G146" s="99">
        <f>SUM(G147+G149+G151+G153)</f>
        <v>6674.9</v>
      </c>
      <c r="H146" s="110">
        <f>SUM(H147+H149+H151+H153)</f>
        <v>8541.577570000001</v>
      </c>
      <c r="I146" s="99">
        <f>SUM(I147+I149+I151+I153)</f>
        <v>7452.7</v>
      </c>
      <c r="J146" s="113"/>
      <c r="K146" s="114"/>
      <c r="L146" s="110">
        <f>I146/H146*100</f>
        <v>87.25203206226925</v>
      </c>
    </row>
    <row r="147" spans="1:12" ht="30.75" customHeight="1">
      <c r="A147" s="28">
        <v>139</v>
      </c>
      <c r="B147" s="19" t="s">
        <v>82</v>
      </c>
      <c r="C147" s="28">
        <v>901</v>
      </c>
      <c r="D147" s="36">
        <v>409</v>
      </c>
      <c r="E147" s="37" t="s">
        <v>173</v>
      </c>
      <c r="F147" s="38"/>
      <c r="G147" s="99">
        <f>SUM(G148)</f>
        <v>6074.9</v>
      </c>
      <c r="H147" s="110">
        <f>H148</f>
        <v>6611.998570000001</v>
      </c>
      <c r="I147" s="99">
        <f>SUM(I148)</f>
        <v>6453.6</v>
      </c>
      <c r="J147" s="113"/>
      <c r="K147" s="114"/>
      <c r="L147" s="110">
        <f>L148</f>
        <v>97.60437682611295</v>
      </c>
    </row>
    <row r="148" spans="1:12" ht="28.5" customHeight="1">
      <c r="A148" s="44">
        <v>140</v>
      </c>
      <c r="B148" s="34" t="s">
        <v>245</v>
      </c>
      <c r="C148" s="30">
        <v>901</v>
      </c>
      <c r="D148" s="39">
        <v>409</v>
      </c>
      <c r="E148" s="38" t="s">
        <v>173</v>
      </c>
      <c r="F148" s="38" t="s">
        <v>67</v>
      </c>
      <c r="G148" s="115">
        <v>6074.9</v>
      </c>
      <c r="H148" s="100">
        <f>6074.88457+1866.692-1549.69+50.2-30.561+60+108+32.473</f>
        <v>6611.998570000001</v>
      </c>
      <c r="I148" s="115">
        <v>6453.6</v>
      </c>
      <c r="J148" s="113"/>
      <c r="K148" s="114"/>
      <c r="L148" s="100">
        <f>I148/H148*100</f>
        <v>97.60437682611295</v>
      </c>
    </row>
    <row r="149" spans="1:12" ht="40.5">
      <c r="A149" s="44">
        <v>141</v>
      </c>
      <c r="B149" s="43" t="s">
        <v>123</v>
      </c>
      <c r="C149" s="28">
        <v>901</v>
      </c>
      <c r="D149" s="36">
        <v>409</v>
      </c>
      <c r="E149" s="62" t="s">
        <v>174</v>
      </c>
      <c r="F149" s="38"/>
      <c r="G149" s="99">
        <f>SUM(G150)</f>
        <v>600</v>
      </c>
      <c r="H149" s="110">
        <f>H150</f>
        <v>600</v>
      </c>
      <c r="I149" s="99">
        <f>SUM(I150)</f>
        <v>199.7</v>
      </c>
      <c r="J149" s="113"/>
      <c r="K149" s="114"/>
      <c r="L149" s="110">
        <f>L150</f>
        <v>33.28333333333333</v>
      </c>
    </row>
    <row r="150" spans="1:12" ht="28.5" customHeight="1">
      <c r="A150" s="28">
        <v>142</v>
      </c>
      <c r="B150" s="34" t="s">
        <v>245</v>
      </c>
      <c r="C150" s="30">
        <v>901</v>
      </c>
      <c r="D150" s="39">
        <v>409</v>
      </c>
      <c r="E150" s="38" t="s">
        <v>174</v>
      </c>
      <c r="F150" s="38" t="s">
        <v>67</v>
      </c>
      <c r="G150" s="115">
        <v>600</v>
      </c>
      <c r="H150" s="100">
        <v>600</v>
      </c>
      <c r="I150" s="115">
        <v>199.7</v>
      </c>
      <c r="J150" s="113"/>
      <c r="K150" s="114"/>
      <c r="L150" s="100">
        <f>I150/H150*100</f>
        <v>33.28333333333333</v>
      </c>
    </row>
    <row r="151" spans="1:12" ht="28.5" customHeight="1">
      <c r="A151" s="28">
        <v>143</v>
      </c>
      <c r="B151" s="63" t="s">
        <v>457</v>
      </c>
      <c r="C151" s="44">
        <v>901</v>
      </c>
      <c r="D151" s="46">
        <v>409</v>
      </c>
      <c r="E151" s="47" t="s">
        <v>399</v>
      </c>
      <c r="F151" s="47"/>
      <c r="G151" s="117">
        <f>SUM(G152)</f>
        <v>0</v>
      </c>
      <c r="H151" s="118">
        <f>SUM(H152)</f>
        <v>1209.579</v>
      </c>
      <c r="I151" s="117">
        <f>SUM(I152)</f>
        <v>799.4</v>
      </c>
      <c r="J151" s="119"/>
      <c r="K151" s="119"/>
      <c r="L151" s="118">
        <f>SUM(L152)</f>
        <v>66.08911034335087</v>
      </c>
    </row>
    <row r="152" spans="1:12" ht="28.5" customHeight="1">
      <c r="A152" s="44">
        <v>144</v>
      </c>
      <c r="B152" s="48" t="s">
        <v>245</v>
      </c>
      <c r="C152" s="49">
        <v>901</v>
      </c>
      <c r="D152" s="50">
        <v>409</v>
      </c>
      <c r="E152" s="42" t="s">
        <v>399</v>
      </c>
      <c r="F152" s="42" t="s">
        <v>67</v>
      </c>
      <c r="G152" s="116">
        <v>0</v>
      </c>
      <c r="H152" s="100">
        <f>1549.69-120-50.2-29.438-108-32.473</f>
        <v>1209.579</v>
      </c>
      <c r="I152" s="116">
        <v>799.4</v>
      </c>
      <c r="J152" s="120"/>
      <c r="K152" s="120"/>
      <c r="L152" s="100">
        <f>I152/H152*100</f>
        <v>66.08911034335087</v>
      </c>
    </row>
    <row r="153" spans="1:12" ht="28.5" customHeight="1">
      <c r="A153" s="44">
        <v>145</v>
      </c>
      <c r="B153" s="51" t="s">
        <v>415</v>
      </c>
      <c r="C153" s="44">
        <v>901</v>
      </c>
      <c r="D153" s="46">
        <v>409</v>
      </c>
      <c r="E153" s="47" t="s">
        <v>416</v>
      </c>
      <c r="F153" s="47"/>
      <c r="G153" s="117">
        <f>SUM(G154)</f>
        <v>0</v>
      </c>
      <c r="H153" s="118">
        <f>SUM(H154)</f>
        <v>120</v>
      </c>
      <c r="I153" s="117">
        <f>SUM(I154)</f>
        <v>0</v>
      </c>
      <c r="J153" s="119"/>
      <c r="K153" s="119"/>
      <c r="L153" s="118">
        <f>SUM(L154)</f>
        <v>0</v>
      </c>
    </row>
    <row r="154" spans="1:12" ht="28.5" customHeight="1">
      <c r="A154" s="28">
        <v>146</v>
      </c>
      <c r="B154" s="48" t="s">
        <v>245</v>
      </c>
      <c r="C154" s="49">
        <v>901</v>
      </c>
      <c r="D154" s="50">
        <v>409</v>
      </c>
      <c r="E154" s="42" t="s">
        <v>416</v>
      </c>
      <c r="F154" s="42" t="s">
        <v>67</v>
      </c>
      <c r="G154" s="116">
        <v>0</v>
      </c>
      <c r="H154" s="100">
        <v>120</v>
      </c>
      <c r="I154" s="116">
        <v>0</v>
      </c>
      <c r="J154" s="120"/>
      <c r="K154" s="120"/>
      <c r="L154" s="100">
        <f>I154/H154*100</f>
        <v>0</v>
      </c>
    </row>
    <row r="155" spans="1:12" ht="13.5">
      <c r="A155" s="28">
        <v>147</v>
      </c>
      <c r="B155" s="19" t="s">
        <v>33</v>
      </c>
      <c r="C155" s="53">
        <v>901</v>
      </c>
      <c r="D155" s="36">
        <v>410</v>
      </c>
      <c r="E155" s="37"/>
      <c r="F155" s="38"/>
      <c r="G155" s="99">
        <f aca="true" t="shared" si="9" ref="G155:I156">SUM(G156)</f>
        <v>50</v>
      </c>
      <c r="H155" s="110">
        <f t="shared" si="9"/>
        <v>46.25</v>
      </c>
      <c r="I155" s="99">
        <f t="shared" si="9"/>
        <v>46.25</v>
      </c>
      <c r="J155" s="123"/>
      <c r="K155" s="123"/>
      <c r="L155" s="110">
        <f>SUM(L156)</f>
        <v>100</v>
      </c>
    </row>
    <row r="156" spans="1:12" ht="40.5" customHeight="1">
      <c r="A156" s="28">
        <v>148</v>
      </c>
      <c r="B156" s="19" t="s">
        <v>425</v>
      </c>
      <c r="C156" s="53">
        <v>901</v>
      </c>
      <c r="D156" s="64">
        <v>410</v>
      </c>
      <c r="E156" s="62" t="s">
        <v>175</v>
      </c>
      <c r="F156" s="65"/>
      <c r="G156" s="98">
        <f t="shared" si="9"/>
        <v>50</v>
      </c>
      <c r="H156" s="110">
        <f t="shared" si="9"/>
        <v>46.25</v>
      </c>
      <c r="I156" s="98">
        <f t="shared" si="9"/>
        <v>46.25</v>
      </c>
      <c r="J156" s="123"/>
      <c r="K156" s="123"/>
      <c r="L156" s="110">
        <f>SUM(L157)</f>
        <v>100</v>
      </c>
    </row>
    <row r="157" spans="1:12" ht="61.5" customHeight="1">
      <c r="A157" s="28">
        <v>149</v>
      </c>
      <c r="B157" s="19" t="s">
        <v>83</v>
      </c>
      <c r="C157" s="53">
        <v>901</v>
      </c>
      <c r="D157" s="66">
        <v>410</v>
      </c>
      <c r="E157" s="67" t="s">
        <v>307</v>
      </c>
      <c r="F157" s="68"/>
      <c r="G157" s="124">
        <f>SUM(G158+G160)</f>
        <v>50</v>
      </c>
      <c r="H157" s="124">
        <f>SUM(H158+H160)</f>
        <v>46.25</v>
      </c>
      <c r="I157" s="124">
        <f>SUM(I158+I160)</f>
        <v>46.25</v>
      </c>
      <c r="J157" s="123"/>
      <c r="K157" s="123"/>
      <c r="L157" s="124">
        <f>I157/H157*100</f>
        <v>100</v>
      </c>
    </row>
    <row r="158" spans="1:12" ht="40.5">
      <c r="A158" s="28">
        <v>150</v>
      </c>
      <c r="B158" s="19" t="s">
        <v>84</v>
      </c>
      <c r="C158" s="53">
        <v>901</v>
      </c>
      <c r="D158" s="66">
        <v>410</v>
      </c>
      <c r="E158" s="67" t="s">
        <v>176</v>
      </c>
      <c r="F158" s="68"/>
      <c r="G158" s="124">
        <f>SUM(G159)</f>
        <v>40</v>
      </c>
      <c r="H158" s="124">
        <f>H159</f>
        <v>40</v>
      </c>
      <c r="I158" s="124">
        <f>SUM(I159)</f>
        <v>40</v>
      </c>
      <c r="J158" s="123"/>
      <c r="K158" s="123"/>
      <c r="L158" s="124">
        <f>L159</f>
        <v>100</v>
      </c>
    </row>
    <row r="159" spans="1:12" ht="29.25" customHeight="1">
      <c r="A159" s="28">
        <v>151</v>
      </c>
      <c r="B159" s="34" t="s">
        <v>245</v>
      </c>
      <c r="C159" s="54">
        <v>901</v>
      </c>
      <c r="D159" s="69">
        <v>410</v>
      </c>
      <c r="E159" s="68" t="s">
        <v>176</v>
      </c>
      <c r="F159" s="56" t="s">
        <v>67</v>
      </c>
      <c r="G159" s="122">
        <v>40</v>
      </c>
      <c r="H159" s="121">
        <v>40</v>
      </c>
      <c r="I159" s="122">
        <v>40</v>
      </c>
      <c r="J159" s="123"/>
      <c r="K159" s="123"/>
      <c r="L159" s="121">
        <f>I159/H159*100</f>
        <v>100</v>
      </c>
    </row>
    <row r="160" spans="1:12" ht="44.25" customHeight="1">
      <c r="A160" s="28">
        <v>152</v>
      </c>
      <c r="B160" s="59" t="s">
        <v>305</v>
      </c>
      <c r="C160" s="53">
        <v>901</v>
      </c>
      <c r="D160" s="66">
        <v>410</v>
      </c>
      <c r="E160" s="67" t="s">
        <v>306</v>
      </c>
      <c r="F160" s="61"/>
      <c r="G160" s="125">
        <f>SUM(G161)</f>
        <v>10</v>
      </c>
      <c r="H160" s="124">
        <f>SUM(H161)</f>
        <v>6.25</v>
      </c>
      <c r="I160" s="125">
        <f>SUM(I161)</f>
        <v>6.25</v>
      </c>
      <c r="J160" s="126"/>
      <c r="K160" s="126"/>
      <c r="L160" s="124">
        <f>SUM(L161)</f>
        <v>100</v>
      </c>
    </row>
    <row r="161" spans="1:12" ht="29.25" customHeight="1">
      <c r="A161" s="28">
        <v>153</v>
      </c>
      <c r="B161" s="34" t="s">
        <v>245</v>
      </c>
      <c r="C161" s="54">
        <v>901</v>
      </c>
      <c r="D161" s="69">
        <v>410</v>
      </c>
      <c r="E161" s="68" t="s">
        <v>306</v>
      </c>
      <c r="F161" s="56" t="s">
        <v>67</v>
      </c>
      <c r="G161" s="122">
        <v>10</v>
      </c>
      <c r="H161" s="121">
        <f>10-3.75</f>
        <v>6.25</v>
      </c>
      <c r="I161" s="122">
        <v>6.25</v>
      </c>
      <c r="J161" s="123"/>
      <c r="K161" s="123"/>
      <c r="L161" s="121">
        <f>I161/H161*100</f>
        <v>100</v>
      </c>
    </row>
    <row r="162" spans="1:12" ht="30" customHeight="1">
      <c r="A162" s="28">
        <v>154</v>
      </c>
      <c r="B162" s="19" t="s">
        <v>128</v>
      </c>
      <c r="C162" s="28">
        <v>901</v>
      </c>
      <c r="D162" s="36">
        <v>412</v>
      </c>
      <c r="E162" s="37"/>
      <c r="F162" s="38"/>
      <c r="G162" s="99">
        <f>SUM(G163+G178+G185+G191+G194+G201)</f>
        <v>1713</v>
      </c>
      <c r="H162" s="110">
        <f>SUM(H163+H178+H185+H191+H194+H201)</f>
        <v>1585.252</v>
      </c>
      <c r="I162" s="99">
        <f>SUM(I163+I178+I185+I191+I194+I201)</f>
        <v>642.5</v>
      </c>
      <c r="J162" s="113"/>
      <c r="K162" s="114"/>
      <c r="L162" s="110">
        <f>I162/H162*100</f>
        <v>40.529833742521696</v>
      </c>
    </row>
    <row r="163" spans="1:12" ht="42.75" customHeight="1">
      <c r="A163" s="28">
        <v>156</v>
      </c>
      <c r="B163" s="43" t="s">
        <v>455</v>
      </c>
      <c r="C163" s="28">
        <v>901</v>
      </c>
      <c r="D163" s="36">
        <v>412</v>
      </c>
      <c r="E163" s="37" t="s">
        <v>146</v>
      </c>
      <c r="F163" s="38"/>
      <c r="G163" s="99">
        <v>0</v>
      </c>
      <c r="H163" s="110">
        <f>SUM(H164+H166+H168+H170+H172+H174+H176)</f>
        <v>967.3</v>
      </c>
      <c r="I163" s="99">
        <f>SUM(I164+I166+I168+I170+I172+I174+I176)</f>
        <v>572.5</v>
      </c>
      <c r="J163" s="113"/>
      <c r="K163" s="114"/>
      <c r="L163" s="110">
        <f>I163/H163*100</f>
        <v>59.18536131500052</v>
      </c>
    </row>
    <row r="164" spans="1:12" ht="30" customHeight="1">
      <c r="A164" s="28">
        <v>157</v>
      </c>
      <c r="B164" s="43" t="s">
        <v>68</v>
      </c>
      <c r="C164" s="28">
        <v>901</v>
      </c>
      <c r="D164" s="36">
        <v>412</v>
      </c>
      <c r="E164" s="37" t="s">
        <v>147</v>
      </c>
      <c r="F164" s="38"/>
      <c r="G164" s="99">
        <v>0</v>
      </c>
      <c r="H164" s="110">
        <f>H165</f>
        <v>73</v>
      </c>
      <c r="I164" s="99">
        <f>SUM(I165)</f>
        <v>41.7</v>
      </c>
      <c r="J164" s="113"/>
      <c r="K164" s="114"/>
      <c r="L164" s="110">
        <f>L165</f>
        <v>57.12328767123288</v>
      </c>
    </row>
    <row r="165" spans="1:12" ht="30" customHeight="1">
      <c r="A165" s="28">
        <v>158</v>
      </c>
      <c r="B165" s="34" t="s">
        <v>245</v>
      </c>
      <c r="C165" s="30">
        <v>901</v>
      </c>
      <c r="D165" s="39">
        <v>412</v>
      </c>
      <c r="E165" s="38" t="s">
        <v>147</v>
      </c>
      <c r="F165" s="38" t="s">
        <v>67</v>
      </c>
      <c r="G165" s="115">
        <v>0</v>
      </c>
      <c r="H165" s="100">
        <f>184-100-14+3</f>
        <v>73</v>
      </c>
      <c r="I165" s="115">
        <v>41.7</v>
      </c>
      <c r="J165" s="113"/>
      <c r="K165" s="114"/>
      <c r="L165" s="100">
        <f>I165/H165*100</f>
        <v>57.12328767123288</v>
      </c>
    </row>
    <row r="166" spans="1:12" ht="30" customHeight="1">
      <c r="A166" s="28">
        <v>159</v>
      </c>
      <c r="B166" s="43" t="s">
        <v>70</v>
      </c>
      <c r="C166" s="28">
        <v>901</v>
      </c>
      <c r="D166" s="36">
        <v>412</v>
      </c>
      <c r="E166" s="37" t="s">
        <v>148</v>
      </c>
      <c r="F166" s="38"/>
      <c r="G166" s="99">
        <v>0</v>
      </c>
      <c r="H166" s="110">
        <f>H167</f>
        <v>70.8</v>
      </c>
      <c r="I166" s="99">
        <f>SUM(I167)</f>
        <v>70.8</v>
      </c>
      <c r="J166" s="113"/>
      <c r="K166" s="114"/>
      <c r="L166" s="110">
        <f>L167</f>
        <v>100</v>
      </c>
    </row>
    <row r="167" spans="1:12" ht="30" customHeight="1">
      <c r="A167" s="44">
        <v>160</v>
      </c>
      <c r="B167" s="34" t="s">
        <v>245</v>
      </c>
      <c r="C167" s="30">
        <v>901</v>
      </c>
      <c r="D167" s="39">
        <v>412</v>
      </c>
      <c r="E167" s="38" t="s">
        <v>148</v>
      </c>
      <c r="F167" s="38" t="s">
        <v>67</v>
      </c>
      <c r="G167" s="115">
        <v>0</v>
      </c>
      <c r="H167" s="121">
        <f>50+30-9.2</f>
        <v>70.8</v>
      </c>
      <c r="I167" s="115">
        <v>70.8</v>
      </c>
      <c r="J167" s="113"/>
      <c r="K167" s="114"/>
      <c r="L167" s="121">
        <f>I167/H167*100</f>
        <v>100</v>
      </c>
    </row>
    <row r="168" spans="1:12" ht="30" customHeight="1">
      <c r="A168" s="44">
        <v>161</v>
      </c>
      <c r="B168" s="59" t="s">
        <v>293</v>
      </c>
      <c r="C168" s="28">
        <v>901</v>
      </c>
      <c r="D168" s="36">
        <v>412</v>
      </c>
      <c r="E168" s="37" t="s">
        <v>149</v>
      </c>
      <c r="F168" s="38"/>
      <c r="G168" s="99">
        <v>0</v>
      </c>
      <c r="H168" s="110">
        <f>H169</f>
        <v>272.5</v>
      </c>
      <c r="I168" s="99">
        <f>SUM(I169)</f>
        <v>119.6</v>
      </c>
      <c r="J168" s="113"/>
      <c r="K168" s="114"/>
      <c r="L168" s="110">
        <f>L169</f>
        <v>43.88990825688073</v>
      </c>
    </row>
    <row r="169" spans="1:12" ht="30" customHeight="1">
      <c r="A169" s="28">
        <v>162</v>
      </c>
      <c r="B169" s="34" t="s">
        <v>245</v>
      </c>
      <c r="C169" s="30">
        <v>901</v>
      </c>
      <c r="D169" s="39">
        <v>412</v>
      </c>
      <c r="E169" s="38" t="s">
        <v>149</v>
      </c>
      <c r="F169" s="38" t="s">
        <v>67</v>
      </c>
      <c r="G169" s="115">
        <v>0</v>
      </c>
      <c r="H169" s="100">
        <v>272.5</v>
      </c>
      <c r="I169" s="115">
        <v>119.6</v>
      </c>
      <c r="J169" s="113"/>
      <c r="K169" s="114"/>
      <c r="L169" s="100">
        <f>I169/H169*100</f>
        <v>43.88990825688073</v>
      </c>
    </row>
    <row r="170" spans="1:12" ht="42" customHeight="1">
      <c r="A170" s="28">
        <v>163</v>
      </c>
      <c r="B170" s="59" t="s">
        <v>294</v>
      </c>
      <c r="C170" s="28">
        <v>901</v>
      </c>
      <c r="D170" s="36">
        <v>412</v>
      </c>
      <c r="E170" s="37" t="s">
        <v>150</v>
      </c>
      <c r="F170" s="38"/>
      <c r="G170" s="99">
        <v>0</v>
      </c>
      <c r="H170" s="110">
        <f>SUM(H171)</f>
        <v>100</v>
      </c>
      <c r="I170" s="99">
        <f>SUM(I171)</f>
        <v>99.5</v>
      </c>
      <c r="J170" s="113"/>
      <c r="K170" s="114"/>
      <c r="L170" s="110">
        <f>SUM(L171)</f>
        <v>99.5</v>
      </c>
    </row>
    <row r="171" spans="1:12" ht="30" customHeight="1">
      <c r="A171" s="44">
        <v>164</v>
      </c>
      <c r="B171" s="34" t="s">
        <v>245</v>
      </c>
      <c r="C171" s="30">
        <v>901</v>
      </c>
      <c r="D171" s="39">
        <v>412</v>
      </c>
      <c r="E171" s="38" t="s">
        <v>150</v>
      </c>
      <c r="F171" s="38" t="s">
        <v>67</v>
      </c>
      <c r="G171" s="115">
        <v>0</v>
      </c>
      <c r="H171" s="100">
        <v>100</v>
      </c>
      <c r="I171" s="115">
        <v>99.5</v>
      </c>
      <c r="J171" s="113"/>
      <c r="K171" s="114"/>
      <c r="L171" s="100">
        <f>I171/H171*100</f>
        <v>99.5</v>
      </c>
    </row>
    <row r="172" spans="1:12" ht="30" customHeight="1">
      <c r="A172" s="44">
        <v>165</v>
      </c>
      <c r="B172" s="59" t="s">
        <v>295</v>
      </c>
      <c r="C172" s="28">
        <v>901</v>
      </c>
      <c r="D172" s="36">
        <v>412</v>
      </c>
      <c r="E172" s="37" t="s">
        <v>296</v>
      </c>
      <c r="F172" s="37"/>
      <c r="G172" s="99">
        <f>SUM(G173)</f>
        <v>0</v>
      </c>
      <c r="H172" s="110">
        <f>SUM(H173)</f>
        <v>199</v>
      </c>
      <c r="I172" s="99">
        <f>SUM(I173)</f>
        <v>197.9</v>
      </c>
      <c r="J172" s="111"/>
      <c r="K172" s="112"/>
      <c r="L172" s="110">
        <f>SUM(L173)</f>
        <v>99.44723618090453</v>
      </c>
    </row>
    <row r="173" spans="1:12" ht="30" customHeight="1">
      <c r="A173" s="28">
        <v>166</v>
      </c>
      <c r="B173" s="34" t="s">
        <v>245</v>
      </c>
      <c r="C173" s="30">
        <v>901</v>
      </c>
      <c r="D173" s="39">
        <v>412</v>
      </c>
      <c r="E173" s="38" t="s">
        <v>296</v>
      </c>
      <c r="F173" s="38" t="s">
        <v>67</v>
      </c>
      <c r="G173" s="115">
        <v>0</v>
      </c>
      <c r="H173" s="100">
        <f>96-68.14+171.14</f>
        <v>199</v>
      </c>
      <c r="I173" s="115">
        <v>197.9</v>
      </c>
      <c r="J173" s="113"/>
      <c r="K173" s="114"/>
      <c r="L173" s="100">
        <f>I173/H173*100</f>
        <v>99.44723618090453</v>
      </c>
    </row>
    <row r="174" spans="1:12" ht="30" customHeight="1">
      <c r="A174" s="28">
        <v>167</v>
      </c>
      <c r="B174" s="70" t="s">
        <v>412</v>
      </c>
      <c r="C174" s="44">
        <v>901</v>
      </c>
      <c r="D174" s="46">
        <v>412</v>
      </c>
      <c r="E174" s="47" t="s">
        <v>413</v>
      </c>
      <c r="F174" s="47"/>
      <c r="G174" s="117">
        <f>SUM(G175)</f>
        <v>0</v>
      </c>
      <c r="H174" s="118">
        <f>SUM(H175)</f>
        <v>180</v>
      </c>
      <c r="I174" s="117">
        <v>0</v>
      </c>
      <c r="J174" s="119"/>
      <c r="K174" s="119"/>
      <c r="L174" s="118">
        <f>SUM(L175)</f>
        <v>0</v>
      </c>
    </row>
    <row r="175" spans="1:12" ht="30" customHeight="1">
      <c r="A175" s="28">
        <v>168</v>
      </c>
      <c r="B175" s="48" t="s">
        <v>245</v>
      </c>
      <c r="C175" s="49">
        <v>901</v>
      </c>
      <c r="D175" s="50">
        <v>412</v>
      </c>
      <c r="E175" s="42" t="s">
        <v>413</v>
      </c>
      <c r="F175" s="42" t="s">
        <v>67</v>
      </c>
      <c r="G175" s="116">
        <v>0</v>
      </c>
      <c r="H175" s="100">
        <v>180</v>
      </c>
      <c r="I175" s="116">
        <v>0</v>
      </c>
      <c r="J175" s="120"/>
      <c r="K175" s="120"/>
      <c r="L175" s="100">
        <f>I175/H175*100</f>
        <v>0</v>
      </c>
    </row>
    <row r="176" spans="1:12" ht="30" customHeight="1">
      <c r="A176" s="28">
        <v>169</v>
      </c>
      <c r="B176" s="60" t="s">
        <v>458</v>
      </c>
      <c r="C176" s="44">
        <v>901</v>
      </c>
      <c r="D176" s="46">
        <v>412</v>
      </c>
      <c r="E176" s="47" t="s">
        <v>361</v>
      </c>
      <c r="F176" s="47"/>
      <c r="G176" s="117">
        <f>SUM(G177)</f>
        <v>0</v>
      </c>
      <c r="H176" s="118">
        <f>SUM(H177)</f>
        <v>72</v>
      </c>
      <c r="I176" s="117">
        <f>SUM(I177)</f>
        <v>43</v>
      </c>
      <c r="J176" s="119"/>
      <c r="K176" s="119"/>
      <c r="L176" s="118">
        <f>SUM(L177)</f>
        <v>59.72222222222222</v>
      </c>
    </row>
    <row r="177" spans="1:12" ht="30" customHeight="1">
      <c r="A177" s="28">
        <v>170</v>
      </c>
      <c r="B177" s="48" t="s">
        <v>245</v>
      </c>
      <c r="C177" s="49">
        <v>901</v>
      </c>
      <c r="D177" s="50">
        <v>412</v>
      </c>
      <c r="E177" s="42" t="s">
        <v>361</v>
      </c>
      <c r="F177" s="42" t="s">
        <v>67</v>
      </c>
      <c r="G177" s="116">
        <v>0</v>
      </c>
      <c r="H177" s="100">
        <f>100-25-3</f>
        <v>72</v>
      </c>
      <c r="I177" s="116">
        <v>43</v>
      </c>
      <c r="J177" s="120"/>
      <c r="K177" s="120"/>
      <c r="L177" s="100">
        <f>I177/H177*100</f>
        <v>59.72222222222222</v>
      </c>
    </row>
    <row r="178" spans="1:12" ht="46.5" customHeight="1">
      <c r="A178" s="28">
        <v>171</v>
      </c>
      <c r="B178" s="19" t="s">
        <v>426</v>
      </c>
      <c r="C178" s="28">
        <v>901</v>
      </c>
      <c r="D178" s="36">
        <v>412</v>
      </c>
      <c r="E178" s="67" t="s">
        <v>177</v>
      </c>
      <c r="F178" s="65"/>
      <c r="G178" s="98">
        <f>SUM(G179+G181+G183)</f>
        <v>77</v>
      </c>
      <c r="H178" s="110">
        <f>SUM(H179+H181+H183)</f>
        <v>20</v>
      </c>
      <c r="I178" s="98">
        <f>SUM(I179+I181+I183)</f>
        <v>20</v>
      </c>
      <c r="J178" s="113"/>
      <c r="K178" s="114"/>
      <c r="L178" s="110">
        <f>I178/H178*100</f>
        <v>100</v>
      </c>
    </row>
    <row r="179" spans="1:12" ht="63.75" customHeight="1">
      <c r="A179" s="28">
        <v>172</v>
      </c>
      <c r="B179" s="19" t="s">
        <v>308</v>
      </c>
      <c r="C179" s="28">
        <v>901</v>
      </c>
      <c r="D179" s="36">
        <v>412</v>
      </c>
      <c r="E179" s="61" t="s">
        <v>178</v>
      </c>
      <c r="F179" s="38"/>
      <c r="G179" s="99">
        <f>SUM(G180)</f>
        <v>57</v>
      </c>
      <c r="H179" s="110">
        <f>H180</f>
        <v>0</v>
      </c>
      <c r="I179" s="99">
        <v>0</v>
      </c>
      <c r="J179" s="113"/>
      <c r="K179" s="114"/>
      <c r="L179" s="110">
        <f>L180</f>
        <v>0</v>
      </c>
    </row>
    <row r="180" spans="1:12" ht="39.75" customHeight="1">
      <c r="A180" s="28">
        <v>173</v>
      </c>
      <c r="B180" s="34" t="s">
        <v>249</v>
      </c>
      <c r="C180" s="30">
        <v>901</v>
      </c>
      <c r="D180" s="39">
        <v>412</v>
      </c>
      <c r="E180" s="56" t="s">
        <v>178</v>
      </c>
      <c r="F180" s="38" t="s">
        <v>47</v>
      </c>
      <c r="G180" s="115">
        <v>57</v>
      </c>
      <c r="H180" s="100">
        <f>57-57</f>
        <v>0</v>
      </c>
      <c r="I180" s="115">
        <v>0</v>
      </c>
      <c r="J180" s="113"/>
      <c r="K180" s="114"/>
      <c r="L180" s="100">
        <f>57-57</f>
        <v>0</v>
      </c>
    </row>
    <row r="181" spans="1:12" ht="27">
      <c r="A181" s="28">
        <v>174</v>
      </c>
      <c r="B181" s="19" t="s">
        <v>85</v>
      </c>
      <c r="C181" s="28">
        <v>901</v>
      </c>
      <c r="D181" s="64">
        <v>412</v>
      </c>
      <c r="E181" s="67" t="s">
        <v>179</v>
      </c>
      <c r="F181" s="65"/>
      <c r="G181" s="98">
        <f>SUM(G182)</f>
        <v>6</v>
      </c>
      <c r="H181" s="110">
        <f>H182</f>
        <v>6</v>
      </c>
      <c r="I181" s="98">
        <f>SUM(I182)</f>
        <v>6</v>
      </c>
      <c r="J181" s="113"/>
      <c r="K181" s="114"/>
      <c r="L181" s="110">
        <f>L182</f>
        <v>100</v>
      </c>
    </row>
    <row r="182" spans="1:12" ht="29.25" customHeight="1">
      <c r="A182" s="28">
        <v>175</v>
      </c>
      <c r="B182" s="34" t="s">
        <v>245</v>
      </c>
      <c r="C182" s="30">
        <v>901</v>
      </c>
      <c r="D182" s="71">
        <v>412</v>
      </c>
      <c r="E182" s="68" t="s">
        <v>179</v>
      </c>
      <c r="F182" s="65" t="s">
        <v>67</v>
      </c>
      <c r="G182" s="101">
        <v>6</v>
      </c>
      <c r="H182" s="100">
        <v>6</v>
      </c>
      <c r="I182" s="101">
        <v>6</v>
      </c>
      <c r="J182" s="113"/>
      <c r="K182" s="114"/>
      <c r="L182" s="100">
        <f>I182/H182*100</f>
        <v>100</v>
      </c>
    </row>
    <row r="183" spans="1:12" ht="39.75" customHeight="1">
      <c r="A183" s="28">
        <v>176</v>
      </c>
      <c r="B183" s="19" t="s">
        <v>86</v>
      </c>
      <c r="C183" s="53">
        <v>901</v>
      </c>
      <c r="D183" s="64">
        <v>412</v>
      </c>
      <c r="E183" s="67" t="s">
        <v>180</v>
      </c>
      <c r="F183" s="65"/>
      <c r="G183" s="98">
        <f>SUM(G184)</f>
        <v>14</v>
      </c>
      <c r="H183" s="110">
        <f>H184</f>
        <v>14</v>
      </c>
      <c r="I183" s="98">
        <f>SUM(I184)</f>
        <v>14</v>
      </c>
      <c r="J183" s="113"/>
      <c r="K183" s="114"/>
      <c r="L183" s="110">
        <f>L184</f>
        <v>100</v>
      </c>
    </row>
    <row r="184" spans="1:12" ht="28.5" customHeight="1">
      <c r="A184" s="28">
        <v>177</v>
      </c>
      <c r="B184" s="34" t="s">
        <v>245</v>
      </c>
      <c r="C184" s="54">
        <v>901</v>
      </c>
      <c r="D184" s="71">
        <v>412</v>
      </c>
      <c r="E184" s="68" t="s">
        <v>180</v>
      </c>
      <c r="F184" s="65" t="s">
        <v>67</v>
      </c>
      <c r="G184" s="101">
        <v>14</v>
      </c>
      <c r="H184" s="100">
        <v>14</v>
      </c>
      <c r="I184" s="101">
        <v>14</v>
      </c>
      <c r="J184" s="123"/>
      <c r="K184" s="123"/>
      <c r="L184" s="100">
        <f>I184/H184*100</f>
        <v>100</v>
      </c>
    </row>
    <row r="185" spans="1:12" ht="54">
      <c r="A185" s="28">
        <v>178</v>
      </c>
      <c r="B185" s="72" t="s">
        <v>427</v>
      </c>
      <c r="C185" s="28">
        <v>901</v>
      </c>
      <c r="D185" s="66">
        <v>412</v>
      </c>
      <c r="E185" s="67" t="s">
        <v>181</v>
      </c>
      <c r="F185" s="65"/>
      <c r="G185" s="98">
        <f>SUM(G186)</f>
        <v>1400</v>
      </c>
      <c r="H185" s="110">
        <f>SUM(H186)</f>
        <v>0</v>
      </c>
      <c r="I185" s="98">
        <v>0</v>
      </c>
      <c r="J185" s="113"/>
      <c r="K185" s="114"/>
      <c r="L185" s="110">
        <f>SUM(L186)</f>
        <v>0</v>
      </c>
    </row>
    <row r="186" spans="1:12" ht="54.75" customHeight="1">
      <c r="A186" s="28">
        <v>179</v>
      </c>
      <c r="B186" s="73" t="s">
        <v>309</v>
      </c>
      <c r="C186" s="28">
        <v>901</v>
      </c>
      <c r="D186" s="66">
        <v>412</v>
      </c>
      <c r="E186" s="67" t="s">
        <v>182</v>
      </c>
      <c r="F186" s="65"/>
      <c r="G186" s="98">
        <f>SUM(G187+G189)</f>
        <v>1400</v>
      </c>
      <c r="H186" s="110">
        <f>SUM(H187+H189)</f>
        <v>0</v>
      </c>
      <c r="I186" s="98">
        <v>0</v>
      </c>
      <c r="J186" s="113"/>
      <c r="K186" s="114"/>
      <c r="L186" s="110">
        <f>SUM(L187+L189)</f>
        <v>0</v>
      </c>
    </row>
    <row r="187" spans="1:12" ht="38.25" customHeight="1">
      <c r="A187" s="28">
        <v>180</v>
      </c>
      <c r="B187" s="72" t="s">
        <v>310</v>
      </c>
      <c r="C187" s="28">
        <v>901</v>
      </c>
      <c r="D187" s="66">
        <v>412</v>
      </c>
      <c r="E187" s="67" t="s">
        <v>311</v>
      </c>
      <c r="F187" s="67"/>
      <c r="G187" s="124">
        <f>SUM(G188)</f>
        <v>500</v>
      </c>
      <c r="H187" s="124">
        <f>H188</f>
        <v>0</v>
      </c>
      <c r="I187" s="124">
        <v>0</v>
      </c>
      <c r="J187" s="113"/>
      <c r="K187" s="114"/>
      <c r="L187" s="124">
        <f>L188</f>
        <v>0</v>
      </c>
    </row>
    <row r="188" spans="1:12" ht="27" customHeight="1">
      <c r="A188" s="28">
        <v>181</v>
      </c>
      <c r="B188" s="34" t="s">
        <v>245</v>
      </c>
      <c r="C188" s="30">
        <v>901</v>
      </c>
      <c r="D188" s="69">
        <v>412</v>
      </c>
      <c r="E188" s="68" t="s">
        <v>311</v>
      </c>
      <c r="F188" s="68" t="s">
        <v>67</v>
      </c>
      <c r="G188" s="121">
        <v>500</v>
      </c>
      <c r="H188" s="121">
        <v>0</v>
      </c>
      <c r="I188" s="121">
        <v>0</v>
      </c>
      <c r="J188" s="113"/>
      <c r="K188" s="114"/>
      <c r="L188" s="121">
        <f>500-500</f>
        <v>0</v>
      </c>
    </row>
    <row r="189" spans="1:12" ht="27" customHeight="1">
      <c r="A189" s="28">
        <v>182</v>
      </c>
      <c r="B189" s="59" t="s">
        <v>312</v>
      </c>
      <c r="C189" s="28">
        <v>901</v>
      </c>
      <c r="D189" s="66">
        <v>412</v>
      </c>
      <c r="E189" s="67" t="s">
        <v>313</v>
      </c>
      <c r="F189" s="67"/>
      <c r="G189" s="124">
        <f>SUM(G190)</f>
        <v>900</v>
      </c>
      <c r="H189" s="124">
        <f>SUM(H190)</f>
        <v>0</v>
      </c>
      <c r="I189" s="124">
        <v>0</v>
      </c>
      <c r="J189" s="111"/>
      <c r="K189" s="112"/>
      <c r="L189" s="124">
        <f>SUM(L190)</f>
        <v>0</v>
      </c>
    </row>
    <row r="190" spans="1:12" ht="27" customHeight="1">
      <c r="A190" s="28">
        <v>183</v>
      </c>
      <c r="B190" s="34" t="s">
        <v>245</v>
      </c>
      <c r="C190" s="30">
        <v>901</v>
      </c>
      <c r="D190" s="69">
        <v>412</v>
      </c>
      <c r="E190" s="68" t="s">
        <v>313</v>
      </c>
      <c r="F190" s="68" t="s">
        <v>67</v>
      </c>
      <c r="G190" s="121">
        <v>900</v>
      </c>
      <c r="H190" s="121">
        <f>900-900</f>
        <v>0</v>
      </c>
      <c r="I190" s="121">
        <v>0</v>
      </c>
      <c r="J190" s="113"/>
      <c r="K190" s="114"/>
      <c r="L190" s="121">
        <f>900-900</f>
        <v>0</v>
      </c>
    </row>
    <row r="191" spans="1:12" ht="45" customHeight="1">
      <c r="A191" s="28">
        <v>184</v>
      </c>
      <c r="B191" s="72" t="s">
        <v>349</v>
      </c>
      <c r="C191" s="28">
        <v>901</v>
      </c>
      <c r="D191" s="74">
        <v>412</v>
      </c>
      <c r="E191" s="61" t="s">
        <v>357</v>
      </c>
      <c r="F191" s="56"/>
      <c r="G191" s="125">
        <v>0</v>
      </c>
      <c r="H191" s="124">
        <f>H192</f>
        <v>50</v>
      </c>
      <c r="I191" s="125">
        <f>SUM(I192)</f>
        <v>50</v>
      </c>
      <c r="J191" s="113"/>
      <c r="K191" s="114"/>
      <c r="L191" s="124">
        <f>L192</f>
        <v>100</v>
      </c>
    </row>
    <row r="192" spans="1:12" ht="27" customHeight="1">
      <c r="A192" s="28">
        <v>185</v>
      </c>
      <c r="B192" s="72" t="s">
        <v>328</v>
      </c>
      <c r="C192" s="28">
        <v>901</v>
      </c>
      <c r="D192" s="74">
        <v>412</v>
      </c>
      <c r="E192" s="61" t="s">
        <v>189</v>
      </c>
      <c r="F192" s="56"/>
      <c r="G192" s="125">
        <v>0</v>
      </c>
      <c r="H192" s="124">
        <f>H193</f>
        <v>50</v>
      </c>
      <c r="I192" s="125">
        <f>SUM(I193)</f>
        <v>50</v>
      </c>
      <c r="J192" s="113"/>
      <c r="K192" s="114"/>
      <c r="L192" s="124">
        <f>L193</f>
        <v>100</v>
      </c>
    </row>
    <row r="193" spans="1:12" ht="27" customHeight="1">
      <c r="A193" s="28">
        <v>186</v>
      </c>
      <c r="B193" s="34" t="s">
        <v>245</v>
      </c>
      <c r="C193" s="30">
        <v>901</v>
      </c>
      <c r="D193" s="55">
        <v>412</v>
      </c>
      <c r="E193" s="56" t="s">
        <v>189</v>
      </c>
      <c r="F193" s="56" t="s">
        <v>67</v>
      </c>
      <c r="G193" s="122">
        <v>0</v>
      </c>
      <c r="H193" s="121">
        <v>50</v>
      </c>
      <c r="I193" s="122">
        <v>50</v>
      </c>
      <c r="J193" s="113"/>
      <c r="K193" s="114"/>
      <c r="L193" s="121">
        <f>I193/H193*100</f>
        <v>100</v>
      </c>
    </row>
    <row r="194" spans="1:12" ht="57.75" customHeight="1">
      <c r="A194" s="28">
        <v>187</v>
      </c>
      <c r="B194" s="19" t="s">
        <v>280</v>
      </c>
      <c r="C194" s="28">
        <v>901</v>
      </c>
      <c r="D194" s="66">
        <v>412</v>
      </c>
      <c r="E194" s="67" t="s">
        <v>370</v>
      </c>
      <c r="F194" s="67"/>
      <c r="G194" s="124">
        <f>SUM(G195+G197+G199)</f>
        <v>236</v>
      </c>
      <c r="H194" s="124">
        <f>SUM(H195+H197+H199)</f>
        <v>544.952</v>
      </c>
      <c r="I194" s="124">
        <v>0</v>
      </c>
      <c r="J194" s="111"/>
      <c r="K194" s="112"/>
      <c r="L194" s="124">
        <f>SUM(L195+L197+L199)</f>
        <v>0</v>
      </c>
    </row>
    <row r="195" spans="1:12" ht="27" customHeight="1">
      <c r="A195" s="28">
        <v>188</v>
      </c>
      <c r="B195" s="19" t="s">
        <v>363</v>
      </c>
      <c r="C195" s="28">
        <v>901</v>
      </c>
      <c r="D195" s="66">
        <v>412</v>
      </c>
      <c r="E195" s="67" t="s">
        <v>281</v>
      </c>
      <c r="F195" s="67"/>
      <c r="G195" s="124">
        <f>SUM(G196)</f>
        <v>146</v>
      </c>
      <c r="H195" s="124">
        <f>SUM(H196)</f>
        <v>104.805</v>
      </c>
      <c r="I195" s="124">
        <v>0</v>
      </c>
      <c r="J195" s="111"/>
      <c r="K195" s="112"/>
      <c r="L195" s="124">
        <f>SUM(L196)</f>
        <v>0</v>
      </c>
    </row>
    <row r="196" spans="1:12" ht="27" customHeight="1">
      <c r="A196" s="28">
        <v>189</v>
      </c>
      <c r="B196" s="34" t="s">
        <v>245</v>
      </c>
      <c r="C196" s="30">
        <v>901</v>
      </c>
      <c r="D196" s="69">
        <v>412</v>
      </c>
      <c r="E196" s="68" t="s">
        <v>281</v>
      </c>
      <c r="F196" s="68" t="s">
        <v>67</v>
      </c>
      <c r="G196" s="121">
        <v>146</v>
      </c>
      <c r="H196" s="121">
        <f>146+269.8-310.995</f>
        <v>104.805</v>
      </c>
      <c r="I196" s="121">
        <v>0</v>
      </c>
      <c r="J196" s="113"/>
      <c r="K196" s="114"/>
      <c r="L196" s="121">
        <v>0</v>
      </c>
    </row>
    <row r="197" spans="1:12" ht="27" customHeight="1">
      <c r="A197" s="28">
        <v>190</v>
      </c>
      <c r="B197" s="19" t="s">
        <v>362</v>
      </c>
      <c r="C197" s="28">
        <v>901</v>
      </c>
      <c r="D197" s="66">
        <v>412</v>
      </c>
      <c r="E197" s="67" t="s">
        <v>282</v>
      </c>
      <c r="F197" s="67"/>
      <c r="G197" s="124">
        <f>SUM(G198)</f>
        <v>90</v>
      </c>
      <c r="H197" s="124">
        <f>SUM(H198)</f>
        <v>215.755</v>
      </c>
      <c r="I197" s="124">
        <v>0</v>
      </c>
      <c r="J197" s="111"/>
      <c r="K197" s="112"/>
      <c r="L197" s="124">
        <f>SUM(L198)</f>
        <v>0</v>
      </c>
    </row>
    <row r="198" spans="1:12" ht="27" customHeight="1">
      <c r="A198" s="44">
        <v>191</v>
      </c>
      <c r="B198" s="34" t="s">
        <v>245</v>
      </c>
      <c r="C198" s="30">
        <v>901</v>
      </c>
      <c r="D198" s="69">
        <v>412</v>
      </c>
      <c r="E198" s="68" t="s">
        <v>282</v>
      </c>
      <c r="F198" s="68" t="s">
        <v>67</v>
      </c>
      <c r="G198" s="121">
        <v>90</v>
      </c>
      <c r="H198" s="121">
        <f>90+90+35.755</f>
        <v>215.755</v>
      </c>
      <c r="I198" s="121">
        <v>0</v>
      </c>
      <c r="J198" s="113"/>
      <c r="K198" s="114"/>
      <c r="L198" s="121">
        <v>0</v>
      </c>
    </row>
    <row r="199" spans="1:12" ht="81" customHeight="1">
      <c r="A199" s="44">
        <v>192</v>
      </c>
      <c r="B199" s="73" t="s">
        <v>368</v>
      </c>
      <c r="C199" s="28">
        <v>901</v>
      </c>
      <c r="D199" s="66">
        <v>412</v>
      </c>
      <c r="E199" s="67" t="s">
        <v>369</v>
      </c>
      <c r="F199" s="67"/>
      <c r="G199" s="124">
        <v>0</v>
      </c>
      <c r="H199" s="124">
        <f>SUM(H200)</f>
        <v>224.39200000000005</v>
      </c>
      <c r="I199" s="124">
        <v>0</v>
      </c>
      <c r="J199" s="111"/>
      <c r="K199" s="112"/>
      <c r="L199" s="124">
        <f>SUM(L200)</f>
        <v>0</v>
      </c>
    </row>
    <row r="200" spans="1:12" ht="27" customHeight="1">
      <c r="A200" s="44">
        <v>193</v>
      </c>
      <c r="B200" s="34" t="s">
        <v>245</v>
      </c>
      <c r="C200" s="30">
        <v>901</v>
      </c>
      <c r="D200" s="69">
        <v>412</v>
      </c>
      <c r="E200" s="68" t="s">
        <v>369</v>
      </c>
      <c r="F200" s="68" t="s">
        <v>67</v>
      </c>
      <c r="G200" s="121">
        <v>0</v>
      </c>
      <c r="H200" s="121">
        <f>1390.2-1165.808</f>
        <v>224.39200000000005</v>
      </c>
      <c r="I200" s="121">
        <v>0</v>
      </c>
      <c r="J200" s="113"/>
      <c r="K200" s="114"/>
      <c r="L200" s="121">
        <v>0</v>
      </c>
    </row>
    <row r="201" spans="1:12" ht="36.75" customHeight="1">
      <c r="A201" s="44">
        <v>194</v>
      </c>
      <c r="B201" s="60" t="s">
        <v>405</v>
      </c>
      <c r="C201" s="44">
        <v>901</v>
      </c>
      <c r="D201" s="75">
        <v>412</v>
      </c>
      <c r="E201" s="76" t="s">
        <v>407</v>
      </c>
      <c r="F201" s="76"/>
      <c r="G201" s="118">
        <v>0</v>
      </c>
      <c r="H201" s="118">
        <f>SUM(H202)</f>
        <v>3</v>
      </c>
      <c r="I201" s="118">
        <v>0</v>
      </c>
      <c r="J201" s="119"/>
      <c r="K201" s="119"/>
      <c r="L201" s="118">
        <f>SUM(L202)</f>
        <v>0</v>
      </c>
    </row>
    <row r="202" spans="1:12" ht="42" customHeight="1">
      <c r="A202" s="44">
        <v>195</v>
      </c>
      <c r="B202" s="70" t="s">
        <v>406</v>
      </c>
      <c r="C202" s="44">
        <v>901</v>
      </c>
      <c r="D202" s="75">
        <v>412</v>
      </c>
      <c r="E202" s="76" t="s">
        <v>408</v>
      </c>
      <c r="F202" s="76"/>
      <c r="G202" s="118">
        <v>0</v>
      </c>
      <c r="H202" s="118">
        <f>SUM(H203)</f>
        <v>3</v>
      </c>
      <c r="I202" s="118">
        <v>0</v>
      </c>
      <c r="J202" s="119"/>
      <c r="K202" s="119"/>
      <c r="L202" s="118">
        <f>SUM(L203)</f>
        <v>0</v>
      </c>
    </row>
    <row r="203" spans="1:12" ht="27" customHeight="1">
      <c r="A203" s="44">
        <v>196</v>
      </c>
      <c r="B203" s="48" t="s">
        <v>245</v>
      </c>
      <c r="C203" s="49">
        <v>901</v>
      </c>
      <c r="D203" s="77">
        <v>412</v>
      </c>
      <c r="E203" s="78" t="s">
        <v>408</v>
      </c>
      <c r="F203" s="78" t="s">
        <v>67</v>
      </c>
      <c r="G203" s="100">
        <v>0</v>
      </c>
      <c r="H203" s="100">
        <v>3</v>
      </c>
      <c r="I203" s="100">
        <v>0</v>
      </c>
      <c r="J203" s="120"/>
      <c r="K203" s="120"/>
      <c r="L203" s="100">
        <v>0</v>
      </c>
    </row>
    <row r="204" spans="1:12" ht="19.5" customHeight="1">
      <c r="A204" s="44">
        <v>197</v>
      </c>
      <c r="B204" s="19" t="s">
        <v>13</v>
      </c>
      <c r="C204" s="28">
        <v>901</v>
      </c>
      <c r="D204" s="36">
        <v>500</v>
      </c>
      <c r="E204" s="37"/>
      <c r="F204" s="38"/>
      <c r="G204" s="99">
        <f>SUM(G205+G218+G233+G250)</f>
        <v>20828.71</v>
      </c>
      <c r="H204" s="118">
        <f>H205+H218+H233+H250</f>
        <v>14210.558519999999</v>
      </c>
      <c r="I204" s="99">
        <f>SUM(I205+I218+I233+I250)</f>
        <v>12877.499999999998</v>
      </c>
      <c r="J204" s="111"/>
      <c r="K204" s="112"/>
      <c r="L204" s="118">
        <f>I204/H204*100</f>
        <v>90.61923908111108</v>
      </c>
    </row>
    <row r="205" spans="1:12" ht="21" customHeight="1">
      <c r="A205" s="44">
        <v>198</v>
      </c>
      <c r="B205" s="19" t="s">
        <v>14</v>
      </c>
      <c r="C205" s="28">
        <v>901</v>
      </c>
      <c r="D205" s="36">
        <v>501</v>
      </c>
      <c r="E205" s="37"/>
      <c r="F205" s="38"/>
      <c r="G205" s="99">
        <f>SUM(G206+G213)</f>
        <v>888.2</v>
      </c>
      <c r="H205" s="110">
        <f>SUM(H206+H213)</f>
        <v>484.24</v>
      </c>
      <c r="I205" s="99">
        <f>SUM(I206+I213)</f>
        <v>484.2</v>
      </c>
      <c r="J205" s="113"/>
      <c r="K205" s="114"/>
      <c r="L205" s="110">
        <f>SUM(L206+L213)</f>
        <v>99.9917396332397</v>
      </c>
    </row>
    <row r="206" spans="1:12" ht="40.5">
      <c r="A206" s="44">
        <v>199</v>
      </c>
      <c r="B206" s="43" t="s">
        <v>428</v>
      </c>
      <c r="C206" s="28">
        <v>901</v>
      </c>
      <c r="D206" s="36">
        <v>501</v>
      </c>
      <c r="E206" s="37" t="s">
        <v>183</v>
      </c>
      <c r="F206" s="38"/>
      <c r="G206" s="99">
        <f>SUM(G207+G209+G211)</f>
        <v>620</v>
      </c>
      <c r="H206" s="110">
        <f>SUM(H207+H209+H211)</f>
        <v>484.24</v>
      </c>
      <c r="I206" s="99">
        <f>SUM(I207+I209+I211)</f>
        <v>484.2</v>
      </c>
      <c r="J206" s="113"/>
      <c r="K206" s="114"/>
      <c r="L206" s="110">
        <f>I206/H206*100</f>
        <v>99.9917396332397</v>
      </c>
    </row>
    <row r="207" spans="1:12" ht="43.5" customHeight="1">
      <c r="A207" s="44">
        <v>200</v>
      </c>
      <c r="B207" s="43" t="s">
        <v>314</v>
      </c>
      <c r="C207" s="28">
        <v>901</v>
      </c>
      <c r="D207" s="36">
        <v>501</v>
      </c>
      <c r="E207" s="37" t="s">
        <v>184</v>
      </c>
      <c r="F207" s="38"/>
      <c r="G207" s="99">
        <f>SUM(G208)</f>
        <v>420</v>
      </c>
      <c r="H207" s="110">
        <f>H208</f>
        <v>459.24</v>
      </c>
      <c r="I207" s="99">
        <f>SUM(I208)</f>
        <v>459.2</v>
      </c>
      <c r="J207" s="113"/>
      <c r="K207" s="114"/>
      <c r="L207" s="110">
        <f>L208</f>
        <v>99.99128995732079</v>
      </c>
    </row>
    <row r="208" spans="1:12" ht="29.25" customHeight="1">
      <c r="A208" s="44">
        <v>201</v>
      </c>
      <c r="B208" s="34" t="s">
        <v>245</v>
      </c>
      <c r="C208" s="30">
        <v>901</v>
      </c>
      <c r="D208" s="39">
        <v>501</v>
      </c>
      <c r="E208" s="38" t="s">
        <v>184</v>
      </c>
      <c r="F208" s="38" t="s">
        <v>67</v>
      </c>
      <c r="G208" s="115">
        <v>420</v>
      </c>
      <c r="H208" s="100">
        <f>420+85.44-46.2</f>
        <v>459.24</v>
      </c>
      <c r="I208" s="115">
        <v>459.2</v>
      </c>
      <c r="J208" s="113"/>
      <c r="K208" s="114"/>
      <c r="L208" s="100">
        <f>I208/H208*100</f>
        <v>99.99128995732079</v>
      </c>
    </row>
    <row r="209" spans="1:12" ht="29.25" customHeight="1">
      <c r="A209" s="44">
        <v>202</v>
      </c>
      <c r="B209" s="79" t="s">
        <v>315</v>
      </c>
      <c r="C209" s="28">
        <v>901</v>
      </c>
      <c r="D209" s="36">
        <v>501</v>
      </c>
      <c r="E209" s="37" t="s">
        <v>316</v>
      </c>
      <c r="F209" s="37"/>
      <c r="G209" s="99">
        <f>SUM(G210)</f>
        <v>200</v>
      </c>
      <c r="H209" s="110">
        <f>SUM(H210)</f>
        <v>0</v>
      </c>
      <c r="I209" s="99">
        <f>SUM(I210)</f>
        <v>0</v>
      </c>
      <c r="J209" s="111"/>
      <c r="K209" s="112"/>
      <c r="L209" s="110">
        <f>SUM(L210)</f>
        <v>0</v>
      </c>
    </row>
    <row r="210" spans="1:12" ht="29.25" customHeight="1">
      <c r="A210" s="44">
        <v>203</v>
      </c>
      <c r="B210" s="34" t="s">
        <v>245</v>
      </c>
      <c r="C210" s="30">
        <v>901</v>
      </c>
      <c r="D210" s="39">
        <v>501</v>
      </c>
      <c r="E210" s="38" t="s">
        <v>316</v>
      </c>
      <c r="F210" s="38" t="s">
        <v>67</v>
      </c>
      <c r="G210" s="115">
        <v>200</v>
      </c>
      <c r="H210" s="100">
        <v>0</v>
      </c>
      <c r="I210" s="115">
        <v>0</v>
      </c>
      <c r="J210" s="113"/>
      <c r="K210" s="114"/>
      <c r="L210" s="100">
        <f>200-30-150.822-19.178</f>
        <v>0</v>
      </c>
    </row>
    <row r="211" spans="1:12" ht="29.25" customHeight="1">
      <c r="A211" s="44">
        <v>204</v>
      </c>
      <c r="B211" s="51" t="s">
        <v>401</v>
      </c>
      <c r="C211" s="44">
        <v>901</v>
      </c>
      <c r="D211" s="46">
        <v>501</v>
      </c>
      <c r="E211" s="47" t="s">
        <v>400</v>
      </c>
      <c r="F211" s="47"/>
      <c r="G211" s="117">
        <f>SUM(G212)</f>
        <v>0</v>
      </c>
      <c r="H211" s="118">
        <f>SUM(H212)</f>
        <v>25</v>
      </c>
      <c r="I211" s="117">
        <f>SUM(I212)</f>
        <v>25</v>
      </c>
      <c r="J211" s="119"/>
      <c r="K211" s="119"/>
      <c r="L211" s="118">
        <f>SUM(L212)</f>
        <v>100</v>
      </c>
    </row>
    <row r="212" spans="1:12" ht="29.25" customHeight="1">
      <c r="A212" s="44">
        <v>205</v>
      </c>
      <c r="B212" s="48" t="s">
        <v>245</v>
      </c>
      <c r="C212" s="49">
        <v>901</v>
      </c>
      <c r="D212" s="50">
        <v>501</v>
      </c>
      <c r="E212" s="42" t="s">
        <v>400</v>
      </c>
      <c r="F212" s="42" t="s">
        <v>67</v>
      </c>
      <c r="G212" s="116">
        <v>0</v>
      </c>
      <c r="H212" s="100">
        <f>30-5</f>
        <v>25</v>
      </c>
      <c r="I212" s="116">
        <v>25</v>
      </c>
      <c r="J212" s="120"/>
      <c r="K212" s="120"/>
      <c r="L212" s="100">
        <f>I212/H212*100</f>
        <v>100</v>
      </c>
    </row>
    <row r="213" spans="1:12" ht="54.75" customHeight="1">
      <c r="A213" s="44">
        <v>206</v>
      </c>
      <c r="B213" s="60" t="s">
        <v>317</v>
      </c>
      <c r="C213" s="44">
        <v>901</v>
      </c>
      <c r="D213" s="46">
        <v>501</v>
      </c>
      <c r="E213" s="47" t="s">
        <v>320</v>
      </c>
      <c r="F213" s="47"/>
      <c r="G213" s="117">
        <f>SUM(G214+G216)</f>
        <v>268.2</v>
      </c>
      <c r="H213" s="118">
        <f>SUM(H214+H216)</f>
        <v>0</v>
      </c>
      <c r="I213" s="117">
        <v>0</v>
      </c>
      <c r="J213" s="120"/>
      <c r="K213" s="120"/>
      <c r="L213" s="118">
        <f>SUM(L214+L216)</f>
        <v>0</v>
      </c>
    </row>
    <row r="214" spans="1:12" ht="29.25" customHeight="1">
      <c r="A214" s="28">
        <v>207</v>
      </c>
      <c r="B214" s="70" t="s">
        <v>318</v>
      </c>
      <c r="C214" s="44">
        <v>901</v>
      </c>
      <c r="D214" s="46">
        <v>501</v>
      </c>
      <c r="E214" s="47" t="s">
        <v>321</v>
      </c>
      <c r="F214" s="47"/>
      <c r="G214" s="117">
        <f>SUM(G215)</f>
        <v>208.2</v>
      </c>
      <c r="H214" s="118">
        <f>SUM(H215)</f>
        <v>0</v>
      </c>
      <c r="I214" s="117">
        <v>0</v>
      </c>
      <c r="J214" s="120"/>
      <c r="K214" s="120"/>
      <c r="L214" s="118">
        <f>SUM(L215)</f>
        <v>0</v>
      </c>
    </row>
    <row r="215" spans="1:12" ht="29.25" customHeight="1">
      <c r="A215" s="28">
        <v>208</v>
      </c>
      <c r="B215" s="48" t="s">
        <v>245</v>
      </c>
      <c r="C215" s="49">
        <v>901</v>
      </c>
      <c r="D215" s="50">
        <v>501</v>
      </c>
      <c r="E215" s="42" t="s">
        <v>321</v>
      </c>
      <c r="F215" s="42" t="s">
        <v>67</v>
      </c>
      <c r="G215" s="116">
        <v>208.2</v>
      </c>
      <c r="H215" s="100">
        <v>0</v>
      </c>
      <c r="I215" s="116">
        <v>0</v>
      </c>
      <c r="J215" s="120"/>
      <c r="K215" s="120"/>
      <c r="L215" s="100">
        <v>0</v>
      </c>
    </row>
    <row r="216" spans="1:12" ht="29.25" customHeight="1">
      <c r="A216" s="28">
        <v>209</v>
      </c>
      <c r="B216" s="60" t="s">
        <v>319</v>
      </c>
      <c r="C216" s="44">
        <v>901</v>
      </c>
      <c r="D216" s="46">
        <v>501</v>
      </c>
      <c r="E216" s="47" t="s">
        <v>322</v>
      </c>
      <c r="F216" s="47"/>
      <c r="G216" s="117">
        <f>SUM(G217)</f>
        <v>60</v>
      </c>
      <c r="H216" s="118">
        <f>SUM(H217)</f>
        <v>0</v>
      </c>
      <c r="I216" s="117">
        <v>0</v>
      </c>
      <c r="J216" s="120"/>
      <c r="K216" s="120"/>
      <c r="L216" s="118">
        <f>SUM(L217)</f>
        <v>0</v>
      </c>
    </row>
    <row r="217" spans="1:12" ht="29.25" customHeight="1">
      <c r="A217" s="28">
        <v>210</v>
      </c>
      <c r="B217" s="48" t="s">
        <v>245</v>
      </c>
      <c r="C217" s="49">
        <v>901</v>
      </c>
      <c r="D217" s="50">
        <v>501</v>
      </c>
      <c r="E217" s="42" t="s">
        <v>322</v>
      </c>
      <c r="F217" s="42" t="s">
        <v>67</v>
      </c>
      <c r="G217" s="116">
        <v>60</v>
      </c>
      <c r="H217" s="100">
        <v>0</v>
      </c>
      <c r="I217" s="116">
        <v>0</v>
      </c>
      <c r="J217" s="120"/>
      <c r="K217" s="120"/>
      <c r="L217" s="100">
        <v>0</v>
      </c>
    </row>
    <row r="218" spans="1:12" ht="20.25" customHeight="1">
      <c r="A218" s="28">
        <v>211</v>
      </c>
      <c r="B218" s="51" t="s">
        <v>15</v>
      </c>
      <c r="C218" s="44">
        <v>901</v>
      </c>
      <c r="D218" s="46">
        <v>502</v>
      </c>
      <c r="E218" s="47"/>
      <c r="F218" s="42"/>
      <c r="G218" s="117">
        <f>SUM(G219)</f>
        <v>11887</v>
      </c>
      <c r="H218" s="118">
        <f>SUM(H219+H232)</f>
        <v>7045.691999999999</v>
      </c>
      <c r="I218" s="117">
        <f>SUM(I219)</f>
        <v>5752.3</v>
      </c>
      <c r="J218" s="120"/>
      <c r="K218" s="120"/>
      <c r="L218" s="118">
        <f>SUM(L219+L232)</f>
        <v>81.64279676148206</v>
      </c>
    </row>
    <row r="219" spans="1:12" ht="40.5">
      <c r="A219" s="28">
        <v>212</v>
      </c>
      <c r="B219" s="43" t="s">
        <v>428</v>
      </c>
      <c r="C219" s="44">
        <v>901</v>
      </c>
      <c r="D219" s="46">
        <v>502</v>
      </c>
      <c r="E219" s="47" t="s">
        <v>183</v>
      </c>
      <c r="F219" s="42"/>
      <c r="G219" s="117">
        <f>SUM(G220+G222+G224+G226+G228+G230)</f>
        <v>11887</v>
      </c>
      <c r="H219" s="118">
        <f>SUM(H220+H222+H224+H226+H228+H230)</f>
        <v>7045.691999999999</v>
      </c>
      <c r="I219" s="117">
        <f>SUM(I220+I222+I224+I226+I228+I230)</f>
        <v>5752.3</v>
      </c>
      <c r="J219" s="120"/>
      <c r="K219" s="120"/>
      <c r="L219" s="118">
        <f>I219/H219*100</f>
        <v>81.64279676148206</v>
      </c>
    </row>
    <row r="220" spans="1:12" ht="27">
      <c r="A220" s="28">
        <v>213</v>
      </c>
      <c r="B220" s="45" t="s">
        <v>87</v>
      </c>
      <c r="C220" s="44">
        <v>901</v>
      </c>
      <c r="D220" s="46">
        <v>502</v>
      </c>
      <c r="E220" s="47" t="s">
        <v>185</v>
      </c>
      <c r="F220" s="42"/>
      <c r="G220" s="117">
        <f>SUM(G221)</f>
        <v>8272</v>
      </c>
      <c r="H220" s="118">
        <f>SUM(H221)</f>
        <v>2971.5249999999996</v>
      </c>
      <c r="I220" s="117">
        <f>SUM(I221)</f>
        <v>1678.2</v>
      </c>
      <c r="J220" s="120"/>
      <c r="K220" s="120"/>
      <c r="L220" s="118">
        <f>SUM(L221)</f>
        <v>56.476051858894</v>
      </c>
    </row>
    <row r="221" spans="1:12" ht="31.5" customHeight="1">
      <c r="A221" s="28">
        <v>214</v>
      </c>
      <c r="B221" s="48" t="s">
        <v>245</v>
      </c>
      <c r="C221" s="49">
        <v>901</v>
      </c>
      <c r="D221" s="50">
        <v>502</v>
      </c>
      <c r="E221" s="42" t="s">
        <v>185</v>
      </c>
      <c r="F221" s="42" t="s">
        <v>67</v>
      </c>
      <c r="G221" s="116">
        <v>8272</v>
      </c>
      <c r="H221" s="100">
        <f>8272+190-583.245-1410.025-83+225-1500-137-900.475-500-601.73</f>
        <v>2971.5249999999996</v>
      </c>
      <c r="I221" s="116">
        <v>1678.2</v>
      </c>
      <c r="J221" s="120"/>
      <c r="K221" s="120"/>
      <c r="L221" s="100">
        <f>I221/H221*100</f>
        <v>56.476051858894</v>
      </c>
    </row>
    <row r="222" spans="1:12" ht="31.5" customHeight="1">
      <c r="A222" s="44">
        <v>215</v>
      </c>
      <c r="B222" s="45" t="s">
        <v>379</v>
      </c>
      <c r="C222" s="44">
        <v>901</v>
      </c>
      <c r="D222" s="46">
        <v>502</v>
      </c>
      <c r="E222" s="47" t="s">
        <v>380</v>
      </c>
      <c r="F222" s="47"/>
      <c r="G222" s="117">
        <f>SUM(G223)</f>
        <v>0</v>
      </c>
      <c r="H222" s="118">
        <f>SUM(H223)</f>
        <v>353.622</v>
      </c>
      <c r="I222" s="117">
        <f>SUM(I223)</f>
        <v>353.6</v>
      </c>
      <c r="J222" s="119"/>
      <c r="K222" s="119"/>
      <c r="L222" s="118">
        <f>SUM(L223)</f>
        <v>99.99377866761684</v>
      </c>
    </row>
    <row r="223" spans="1:12" ht="31.5" customHeight="1">
      <c r="A223" s="44">
        <v>216</v>
      </c>
      <c r="B223" s="48" t="s">
        <v>245</v>
      </c>
      <c r="C223" s="49">
        <v>901</v>
      </c>
      <c r="D223" s="50">
        <v>502</v>
      </c>
      <c r="E223" s="42" t="s">
        <v>380</v>
      </c>
      <c r="F223" s="42" t="s">
        <v>67</v>
      </c>
      <c r="G223" s="116">
        <v>0</v>
      </c>
      <c r="H223" s="100">
        <v>353.622</v>
      </c>
      <c r="I223" s="116">
        <v>353.6</v>
      </c>
      <c r="J223" s="120"/>
      <c r="K223" s="120"/>
      <c r="L223" s="100">
        <f>I223/H223*100</f>
        <v>99.99377866761684</v>
      </c>
    </row>
    <row r="224" spans="1:12" ht="47.25" customHeight="1">
      <c r="A224" s="28">
        <v>217</v>
      </c>
      <c r="B224" s="43" t="s">
        <v>88</v>
      </c>
      <c r="C224" s="28">
        <v>901</v>
      </c>
      <c r="D224" s="36">
        <v>502</v>
      </c>
      <c r="E224" s="37" t="s">
        <v>186</v>
      </c>
      <c r="F224" s="38"/>
      <c r="G224" s="99">
        <f>SUM(G225)</f>
        <v>693</v>
      </c>
      <c r="H224" s="110">
        <f>SUM(H225:H225)</f>
        <v>237.54500000000002</v>
      </c>
      <c r="I224" s="99">
        <f>SUM(I225)</f>
        <v>237.5</v>
      </c>
      <c r="J224" s="113"/>
      <c r="K224" s="114"/>
      <c r="L224" s="110">
        <f>SUM(L225:L225)</f>
        <v>99.98105622092656</v>
      </c>
    </row>
    <row r="225" spans="1:12" ht="27.75" customHeight="1">
      <c r="A225" s="28">
        <v>218</v>
      </c>
      <c r="B225" s="34" t="s">
        <v>245</v>
      </c>
      <c r="C225" s="30">
        <v>901</v>
      </c>
      <c r="D225" s="39">
        <v>502</v>
      </c>
      <c r="E225" s="38" t="s">
        <v>186</v>
      </c>
      <c r="F225" s="38" t="s">
        <v>67</v>
      </c>
      <c r="G225" s="115">
        <v>693</v>
      </c>
      <c r="H225" s="100">
        <f>693-387.582-67.873</f>
        <v>237.54500000000002</v>
      </c>
      <c r="I225" s="115">
        <v>237.5</v>
      </c>
      <c r="J225" s="113"/>
      <c r="K225" s="114"/>
      <c r="L225" s="100">
        <f>I225/H225*100</f>
        <v>99.98105622092656</v>
      </c>
    </row>
    <row r="226" spans="1:12" ht="27">
      <c r="A226" s="44">
        <v>219</v>
      </c>
      <c r="B226" s="43" t="s">
        <v>124</v>
      </c>
      <c r="C226" s="28">
        <v>901</v>
      </c>
      <c r="D226" s="36">
        <v>502</v>
      </c>
      <c r="E226" s="37" t="s">
        <v>187</v>
      </c>
      <c r="F226" s="38"/>
      <c r="G226" s="99">
        <f>SUM(G227)</f>
        <v>300</v>
      </c>
      <c r="H226" s="110">
        <f>H227</f>
        <v>370</v>
      </c>
      <c r="I226" s="99">
        <f>SUM(I227)</f>
        <v>370</v>
      </c>
      <c r="J226" s="113"/>
      <c r="K226" s="114"/>
      <c r="L226" s="110">
        <f>L227</f>
        <v>100</v>
      </c>
    </row>
    <row r="227" spans="1:12" ht="30" customHeight="1">
      <c r="A227" s="44">
        <v>220</v>
      </c>
      <c r="B227" s="34" t="s">
        <v>245</v>
      </c>
      <c r="C227" s="30">
        <v>901</v>
      </c>
      <c r="D227" s="39">
        <v>502</v>
      </c>
      <c r="E227" s="38" t="s">
        <v>187</v>
      </c>
      <c r="F227" s="38" t="s">
        <v>67</v>
      </c>
      <c r="G227" s="115">
        <v>300</v>
      </c>
      <c r="H227" s="100">
        <f>300+70</f>
        <v>370</v>
      </c>
      <c r="I227" s="115">
        <v>370</v>
      </c>
      <c r="J227" s="113"/>
      <c r="K227" s="114"/>
      <c r="L227" s="100">
        <f>I227/H227*100</f>
        <v>100</v>
      </c>
    </row>
    <row r="228" spans="1:12" ht="13.5">
      <c r="A228" s="44">
        <v>221</v>
      </c>
      <c r="B228" s="19" t="s">
        <v>125</v>
      </c>
      <c r="C228" s="28">
        <v>901</v>
      </c>
      <c r="D228" s="36">
        <v>502</v>
      </c>
      <c r="E228" s="37" t="s">
        <v>188</v>
      </c>
      <c r="F228" s="38"/>
      <c r="G228" s="99">
        <f>SUM(G229)</f>
        <v>1122</v>
      </c>
      <c r="H228" s="110">
        <f>H229</f>
        <v>1113</v>
      </c>
      <c r="I228" s="99">
        <f>SUM(I229)</f>
        <v>1113</v>
      </c>
      <c r="J228" s="113"/>
      <c r="K228" s="114"/>
      <c r="L228" s="110">
        <f>L229</f>
        <v>100</v>
      </c>
    </row>
    <row r="229" spans="1:12" ht="29.25" customHeight="1">
      <c r="A229" s="44">
        <v>222</v>
      </c>
      <c r="B229" s="34" t="s">
        <v>245</v>
      </c>
      <c r="C229" s="30">
        <v>901</v>
      </c>
      <c r="D229" s="39">
        <v>502</v>
      </c>
      <c r="E229" s="38" t="s">
        <v>188</v>
      </c>
      <c r="F229" s="38" t="s">
        <v>67</v>
      </c>
      <c r="G229" s="115">
        <v>1122</v>
      </c>
      <c r="H229" s="100">
        <f>1122-9</f>
        <v>1113</v>
      </c>
      <c r="I229" s="115">
        <v>1113</v>
      </c>
      <c r="J229" s="113"/>
      <c r="K229" s="114"/>
      <c r="L229" s="100">
        <f>I229/H229*100</f>
        <v>100</v>
      </c>
    </row>
    <row r="230" spans="1:12" ht="51" customHeight="1">
      <c r="A230" s="44">
        <v>223</v>
      </c>
      <c r="B230" s="19" t="s">
        <v>246</v>
      </c>
      <c r="C230" s="28">
        <v>901</v>
      </c>
      <c r="D230" s="36">
        <v>502</v>
      </c>
      <c r="E230" s="61" t="s">
        <v>247</v>
      </c>
      <c r="F230" s="37"/>
      <c r="G230" s="99">
        <f>SUM(G231)</f>
        <v>1500</v>
      </c>
      <c r="H230" s="110">
        <f>SUM(H231)</f>
        <v>2000</v>
      </c>
      <c r="I230" s="99">
        <f>SUM(I231)</f>
        <v>2000</v>
      </c>
      <c r="J230" s="111"/>
      <c r="K230" s="112"/>
      <c r="L230" s="110">
        <f>SUM(L231)</f>
        <v>100</v>
      </c>
    </row>
    <row r="231" spans="1:12" ht="39" customHeight="1">
      <c r="A231" s="44">
        <v>224</v>
      </c>
      <c r="B231" s="34" t="s">
        <v>249</v>
      </c>
      <c r="C231" s="30">
        <v>901</v>
      </c>
      <c r="D231" s="39">
        <v>502</v>
      </c>
      <c r="E231" s="56" t="s">
        <v>247</v>
      </c>
      <c r="F231" s="38" t="s">
        <v>47</v>
      </c>
      <c r="G231" s="115">
        <v>1500</v>
      </c>
      <c r="H231" s="100">
        <f>1500+500</f>
        <v>2000</v>
      </c>
      <c r="I231" s="115">
        <v>2000</v>
      </c>
      <c r="J231" s="113"/>
      <c r="K231" s="114"/>
      <c r="L231" s="100">
        <f>I231/H231*100</f>
        <v>100</v>
      </c>
    </row>
    <row r="232" spans="1:12" ht="39" customHeight="1">
      <c r="A232" s="44">
        <v>225</v>
      </c>
      <c r="B232" s="45" t="s">
        <v>445</v>
      </c>
      <c r="C232" s="44">
        <v>901</v>
      </c>
      <c r="D232" s="46">
        <v>502</v>
      </c>
      <c r="E232" s="47" t="s">
        <v>446</v>
      </c>
      <c r="F232" s="47"/>
      <c r="G232" s="117">
        <v>0</v>
      </c>
      <c r="H232" s="118">
        <v>0</v>
      </c>
      <c r="I232" s="117">
        <v>0</v>
      </c>
      <c r="J232" s="119"/>
      <c r="K232" s="119"/>
      <c r="L232" s="118">
        <v>0</v>
      </c>
    </row>
    <row r="233" spans="1:12" ht="27.75" customHeight="1">
      <c r="A233" s="44">
        <v>226</v>
      </c>
      <c r="B233" s="72" t="s">
        <v>16</v>
      </c>
      <c r="C233" s="28">
        <v>901</v>
      </c>
      <c r="D233" s="74">
        <v>503</v>
      </c>
      <c r="E233" s="61"/>
      <c r="F233" s="56"/>
      <c r="G233" s="125">
        <f>SUM(G234+G245)</f>
        <v>6669.51</v>
      </c>
      <c r="H233" s="124">
        <f>SUM(H234+H245)</f>
        <v>6680.62652</v>
      </c>
      <c r="I233" s="125">
        <f>SUM(I234+I245)</f>
        <v>6562.099999999999</v>
      </c>
      <c r="J233" s="113"/>
      <c r="K233" s="114"/>
      <c r="L233" s="124">
        <f>I233/H233*100</f>
        <v>98.22581729954273</v>
      </c>
    </row>
    <row r="234" spans="1:12" ht="45" customHeight="1">
      <c r="A234" s="28">
        <v>227</v>
      </c>
      <c r="B234" s="43" t="s">
        <v>428</v>
      </c>
      <c r="C234" s="28">
        <v>901</v>
      </c>
      <c r="D234" s="36">
        <v>503</v>
      </c>
      <c r="E234" s="37" t="s">
        <v>183</v>
      </c>
      <c r="F234" s="38"/>
      <c r="G234" s="99">
        <f>SUM(G235+G237+G239+G241+G243)</f>
        <v>5469.51</v>
      </c>
      <c r="H234" s="110">
        <f>SUM(H235+H237+H239+H241+H243)</f>
        <v>6541.67291</v>
      </c>
      <c r="I234" s="99">
        <f>SUM(I235+I237+I239+I241+I243)</f>
        <v>6423.099999999999</v>
      </c>
      <c r="J234" s="113"/>
      <c r="K234" s="114"/>
      <c r="L234" s="110">
        <f>I234/H234*100</f>
        <v>98.18742221399143</v>
      </c>
    </row>
    <row r="235" spans="1:12" ht="21.75" customHeight="1">
      <c r="A235" s="28">
        <v>228</v>
      </c>
      <c r="B235" s="19" t="s">
        <v>323</v>
      </c>
      <c r="C235" s="28">
        <v>901</v>
      </c>
      <c r="D235" s="36">
        <v>503</v>
      </c>
      <c r="E235" s="37" t="s">
        <v>232</v>
      </c>
      <c r="F235" s="38"/>
      <c r="G235" s="99">
        <f>SUM(G236)</f>
        <v>3937.36</v>
      </c>
      <c r="H235" s="110">
        <f>H236</f>
        <v>3971.8218800000004</v>
      </c>
      <c r="I235" s="99">
        <f>SUM(I236)</f>
        <v>3856.6</v>
      </c>
      <c r="J235" s="113"/>
      <c r="K235" s="114"/>
      <c r="L235" s="110">
        <f>L236</f>
        <v>97.09901693778875</v>
      </c>
    </row>
    <row r="236" spans="1:12" ht="28.5" customHeight="1">
      <c r="A236" s="28">
        <v>229</v>
      </c>
      <c r="B236" s="34" t="s">
        <v>245</v>
      </c>
      <c r="C236" s="30">
        <v>901</v>
      </c>
      <c r="D236" s="39">
        <v>503</v>
      </c>
      <c r="E236" s="38" t="s">
        <v>232</v>
      </c>
      <c r="F236" s="38" t="s">
        <v>67</v>
      </c>
      <c r="G236" s="115">
        <v>3937.36</v>
      </c>
      <c r="H236" s="100">
        <f>3937.36+31.045-5+8.342+1.887+10.535-11.704-41.74+1.065+0.25131+40-0.21943</f>
        <v>3971.8218800000004</v>
      </c>
      <c r="I236" s="115">
        <v>3856.6</v>
      </c>
      <c r="J236" s="113"/>
      <c r="K236" s="114"/>
      <c r="L236" s="100">
        <f>I236/H236*100</f>
        <v>97.09901693778875</v>
      </c>
    </row>
    <row r="237" spans="1:12" ht="28.5" customHeight="1">
      <c r="A237" s="28">
        <v>230</v>
      </c>
      <c r="B237" s="51" t="s">
        <v>385</v>
      </c>
      <c r="C237" s="44">
        <v>901</v>
      </c>
      <c r="D237" s="46">
        <v>503</v>
      </c>
      <c r="E237" s="47" t="s">
        <v>386</v>
      </c>
      <c r="F237" s="47"/>
      <c r="G237" s="117">
        <f>SUM(G238)</f>
        <v>0</v>
      </c>
      <c r="H237" s="118">
        <f>SUM(H238)</f>
        <v>868.393</v>
      </c>
      <c r="I237" s="117">
        <f>SUM(I238)</f>
        <v>868.4</v>
      </c>
      <c r="J237" s="119"/>
      <c r="K237" s="119"/>
      <c r="L237" s="118">
        <f>SUM(L238)</f>
        <v>100.0008060866451</v>
      </c>
    </row>
    <row r="238" spans="1:12" ht="28.5" customHeight="1">
      <c r="A238" s="28">
        <v>231</v>
      </c>
      <c r="B238" s="48" t="s">
        <v>245</v>
      </c>
      <c r="C238" s="49">
        <v>901</v>
      </c>
      <c r="D238" s="50">
        <v>503</v>
      </c>
      <c r="E238" s="42" t="s">
        <v>386</v>
      </c>
      <c r="F238" s="42" t="s">
        <v>67</v>
      </c>
      <c r="G238" s="116">
        <v>0</v>
      </c>
      <c r="H238" s="100">
        <v>868.393</v>
      </c>
      <c r="I238" s="116">
        <v>868.4</v>
      </c>
      <c r="J238" s="120"/>
      <c r="K238" s="120"/>
      <c r="L238" s="100">
        <f>I238/H238*100</f>
        <v>100.0008060866451</v>
      </c>
    </row>
    <row r="239" spans="1:12" ht="16.5" customHeight="1">
      <c r="A239" s="28">
        <v>232</v>
      </c>
      <c r="B239" s="51" t="s">
        <v>17</v>
      </c>
      <c r="C239" s="44">
        <v>901</v>
      </c>
      <c r="D239" s="46">
        <v>503</v>
      </c>
      <c r="E239" s="47" t="s">
        <v>233</v>
      </c>
      <c r="F239" s="42"/>
      <c r="G239" s="117">
        <f>SUM(G240)</f>
        <v>622.15</v>
      </c>
      <c r="H239" s="118">
        <f>H240</f>
        <v>618.4399900000001</v>
      </c>
      <c r="I239" s="117">
        <f>SUM(I240)</f>
        <v>618.4</v>
      </c>
      <c r="J239" s="120"/>
      <c r="K239" s="120"/>
      <c r="L239" s="118">
        <f>L240</f>
        <v>99.99353372992582</v>
      </c>
    </row>
    <row r="240" spans="1:12" ht="30" customHeight="1">
      <c r="A240" s="28">
        <v>233</v>
      </c>
      <c r="B240" s="48" t="s">
        <v>245</v>
      </c>
      <c r="C240" s="49">
        <v>901</v>
      </c>
      <c r="D240" s="50">
        <v>503</v>
      </c>
      <c r="E240" s="42" t="s">
        <v>233</v>
      </c>
      <c r="F240" s="42" t="s">
        <v>67</v>
      </c>
      <c r="G240" s="116">
        <v>622.15</v>
      </c>
      <c r="H240" s="100">
        <f>622.167-3.247-0.18345-0.075-0.10451-0.11705</f>
        <v>618.4399900000001</v>
      </c>
      <c r="I240" s="116">
        <v>618.4</v>
      </c>
      <c r="J240" s="120"/>
      <c r="K240" s="120"/>
      <c r="L240" s="100">
        <f>I240/H240*100</f>
        <v>99.99353372992582</v>
      </c>
    </row>
    <row r="241" spans="1:12" ht="18.75" customHeight="1">
      <c r="A241" s="62" t="s">
        <v>393</v>
      </c>
      <c r="B241" s="51" t="s">
        <v>89</v>
      </c>
      <c r="C241" s="44">
        <v>901</v>
      </c>
      <c r="D241" s="46">
        <v>503</v>
      </c>
      <c r="E241" s="47" t="s">
        <v>234</v>
      </c>
      <c r="F241" s="42"/>
      <c r="G241" s="117">
        <f>SUM(G242)</f>
        <v>910</v>
      </c>
      <c r="H241" s="118">
        <f>H242</f>
        <v>1044.01804</v>
      </c>
      <c r="I241" s="117">
        <f>SUM(I242)</f>
        <v>1040.7</v>
      </c>
      <c r="J241" s="120"/>
      <c r="K241" s="120"/>
      <c r="L241" s="118">
        <f>L242</f>
        <v>99.68218556836432</v>
      </c>
    </row>
    <row r="242" spans="1:12" ht="30" customHeight="1">
      <c r="A242" s="28">
        <v>235</v>
      </c>
      <c r="B242" s="48" t="s">
        <v>245</v>
      </c>
      <c r="C242" s="49">
        <v>901</v>
      </c>
      <c r="D242" s="50">
        <v>503</v>
      </c>
      <c r="E242" s="42" t="s">
        <v>234</v>
      </c>
      <c r="F242" s="42" t="s">
        <v>67</v>
      </c>
      <c r="G242" s="116">
        <v>910</v>
      </c>
      <c r="H242" s="100">
        <f>910+70-0.03+64.937-0.183-0.25131-0.22624-0.22841</f>
        <v>1044.01804</v>
      </c>
      <c r="I242" s="116">
        <v>1040.7</v>
      </c>
      <c r="J242" s="120"/>
      <c r="K242" s="120"/>
      <c r="L242" s="100">
        <f>I242/H242*100</f>
        <v>99.68218556836432</v>
      </c>
    </row>
    <row r="243" spans="1:12" ht="30" customHeight="1">
      <c r="A243" s="28">
        <v>236</v>
      </c>
      <c r="B243" s="51" t="s">
        <v>383</v>
      </c>
      <c r="C243" s="44">
        <v>901</v>
      </c>
      <c r="D243" s="46">
        <v>503</v>
      </c>
      <c r="E243" s="47" t="s">
        <v>384</v>
      </c>
      <c r="F243" s="47"/>
      <c r="G243" s="117">
        <f>SUM(G244)</f>
        <v>0</v>
      </c>
      <c r="H243" s="118">
        <f>SUM(H244)</f>
        <v>39</v>
      </c>
      <c r="I243" s="117">
        <f>SUM(I244)</f>
        <v>39</v>
      </c>
      <c r="J243" s="119"/>
      <c r="K243" s="119"/>
      <c r="L243" s="118">
        <f>SUM(L244)</f>
        <v>100</v>
      </c>
    </row>
    <row r="244" spans="1:12" ht="30" customHeight="1">
      <c r="A244" s="28">
        <v>237</v>
      </c>
      <c r="B244" s="48" t="s">
        <v>245</v>
      </c>
      <c r="C244" s="49">
        <v>901</v>
      </c>
      <c r="D244" s="50">
        <v>503</v>
      </c>
      <c r="E244" s="42" t="s">
        <v>384</v>
      </c>
      <c r="F244" s="42" t="s">
        <v>67</v>
      </c>
      <c r="G244" s="116">
        <v>0</v>
      </c>
      <c r="H244" s="100">
        <v>39</v>
      </c>
      <c r="I244" s="116">
        <v>39</v>
      </c>
      <c r="J244" s="120"/>
      <c r="K244" s="120"/>
      <c r="L244" s="100">
        <f>I244/H244*100</f>
        <v>100</v>
      </c>
    </row>
    <row r="245" spans="1:12" ht="43.5" customHeight="1">
      <c r="A245" s="28">
        <v>238</v>
      </c>
      <c r="B245" s="19" t="s">
        <v>436</v>
      </c>
      <c r="C245" s="28">
        <v>901</v>
      </c>
      <c r="D245" s="36">
        <v>503</v>
      </c>
      <c r="E245" s="37" t="s">
        <v>342</v>
      </c>
      <c r="F245" s="37"/>
      <c r="G245" s="99">
        <f>SUM(G246+G248)</f>
        <v>1200</v>
      </c>
      <c r="H245" s="110">
        <f>SUM(H246+H248)</f>
        <v>138.95360999999997</v>
      </c>
      <c r="I245" s="99">
        <f>SUM(I246+I248)</f>
        <v>139</v>
      </c>
      <c r="J245" s="111"/>
      <c r="K245" s="112"/>
      <c r="L245" s="110">
        <f>SUM(L246+L248)</f>
        <v>100.03338524274399</v>
      </c>
    </row>
    <row r="246" spans="1:12" ht="44.25" customHeight="1">
      <c r="A246" s="28">
        <v>239</v>
      </c>
      <c r="B246" s="59" t="s">
        <v>324</v>
      </c>
      <c r="C246" s="28">
        <v>901</v>
      </c>
      <c r="D246" s="36">
        <v>503</v>
      </c>
      <c r="E246" s="37" t="s">
        <v>326</v>
      </c>
      <c r="F246" s="37"/>
      <c r="G246" s="99">
        <f>SUM(G247)</f>
        <v>633</v>
      </c>
      <c r="H246" s="110">
        <f>SUM(H247)</f>
        <v>0</v>
      </c>
      <c r="I246" s="99">
        <f>SUM(I247)</f>
        <v>0</v>
      </c>
      <c r="J246" s="111"/>
      <c r="K246" s="112"/>
      <c r="L246" s="110">
        <f>SUM(L247)</f>
        <v>0</v>
      </c>
    </row>
    <row r="247" spans="1:12" ht="30" customHeight="1">
      <c r="A247" s="28">
        <v>240</v>
      </c>
      <c r="B247" s="34" t="s">
        <v>245</v>
      </c>
      <c r="C247" s="30">
        <v>901</v>
      </c>
      <c r="D247" s="39">
        <v>503</v>
      </c>
      <c r="E247" s="38" t="s">
        <v>326</v>
      </c>
      <c r="F247" s="38" t="s">
        <v>67</v>
      </c>
      <c r="G247" s="115">
        <v>633</v>
      </c>
      <c r="H247" s="100">
        <f>633-633</f>
        <v>0</v>
      </c>
      <c r="I247" s="115">
        <v>0</v>
      </c>
      <c r="J247" s="113"/>
      <c r="K247" s="114"/>
      <c r="L247" s="100">
        <f>633-633</f>
        <v>0</v>
      </c>
    </row>
    <row r="248" spans="1:12" ht="30" customHeight="1">
      <c r="A248" s="28">
        <v>241</v>
      </c>
      <c r="B248" s="19" t="s">
        <v>325</v>
      </c>
      <c r="C248" s="28">
        <v>901</v>
      </c>
      <c r="D248" s="36">
        <v>503</v>
      </c>
      <c r="E248" s="37" t="s">
        <v>327</v>
      </c>
      <c r="F248" s="37"/>
      <c r="G248" s="99">
        <f>SUM(G249)</f>
        <v>567</v>
      </c>
      <c r="H248" s="110">
        <f>SUM(H249)</f>
        <v>138.95360999999997</v>
      </c>
      <c r="I248" s="99">
        <f>SUM(I249)</f>
        <v>139</v>
      </c>
      <c r="J248" s="111"/>
      <c r="K248" s="112"/>
      <c r="L248" s="110">
        <f>SUM(L249)</f>
        <v>100.03338524274399</v>
      </c>
    </row>
    <row r="249" spans="1:12" ht="30" customHeight="1">
      <c r="A249" s="28">
        <v>242</v>
      </c>
      <c r="B249" s="34" t="s">
        <v>245</v>
      </c>
      <c r="C249" s="30">
        <v>901</v>
      </c>
      <c r="D249" s="39">
        <v>503</v>
      </c>
      <c r="E249" s="38" t="s">
        <v>327</v>
      </c>
      <c r="F249" s="38" t="s">
        <v>67</v>
      </c>
      <c r="G249" s="115">
        <v>567</v>
      </c>
      <c r="H249" s="100">
        <f>567-36.91339-331.133-60</f>
        <v>138.95360999999997</v>
      </c>
      <c r="I249" s="115">
        <v>139</v>
      </c>
      <c r="J249" s="113"/>
      <c r="K249" s="114"/>
      <c r="L249" s="100">
        <f>I249/H249*100</f>
        <v>100.03338524274399</v>
      </c>
    </row>
    <row r="250" spans="1:12" ht="22.5" customHeight="1">
      <c r="A250" s="28">
        <v>243</v>
      </c>
      <c r="B250" s="19" t="s">
        <v>61</v>
      </c>
      <c r="C250" s="28">
        <v>901</v>
      </c>
      <c r="D250" s="36">
        <v>505</v>
      </c>
      <c r="E250" s="37"/>
      <c r="F250" s="38"/>
      <c r="G250" s="99">
        <f>SUM(G251+G257+G260)</f>
        <v>1384</v>
      </c>
      <c r="H250" s="110">
        <f>SUM(H251+H257)</f>
        <v>0</v>
      </c>
      <c r="I250" s="99">
        <f>SUM(I251+I257+I260)</f>
        <v>78.9</v>
      </c>
      <c r="J250" s="113"/>
      <c r="K250" s="114"/>
      <c r="L250" s="110">
        <f>SUM(L251+L257)</f>
        <v>0</v>
      </c>
    </row>
    <row r="251" spans="1:12" ht="40.5">
      <c r="A251" s="28">
        <v>244</v>
      </c>
      <c r="B251" s="43" t="s">
        <v>428</v>
      </c>
      <c r="C251" s="28">
        <v>901</v>
      </c>
      <c r="D251" s="36">
        <v>505</v>
      </c>
      <c r="E251" s="37" t="s">
        <v>183</v>
      </c>
      <c r="F251" s="38"/>
      <c r="G251" s="99">
        <f>SUM(G252+G255)</f>
        <v>1334</v>
      </c>
      <c r="H251" s="110">
        <f>SUM(H252+H255)</f>
        <v>0</v>
      </c>
      <c r="I251" s="99">
        <v>0</v>
      </c>
      <c r="J251" s="113"/>
      <c r="K251" s="114"/>
      <c r="L251" s="110">
        <f>SUM(L252+L255)</f>
        <v>0</v>
      </c>
    </row>
    <row r="252" spans="1:12" ht="44.25" customHeight="1">
      <c r="A252" s="28">
        <v>245</v>
      </c>
      <c r="B252" s="43" t="s">
        <v>88</v>
      </c>
      <c r="C252" s="28">
        <v>901</v>
      </c>
      <c r="D252" s="36">
        <v>505</v>
      </c>
      <c r="E252" s="37" t="s">
        <v>186</v>
      </c>
      <c r="F252" s="37"/>
      <c r="G252" s="99">
        <f>SUM(G253:G254)</f>
        <v>1313</v>
      </c>
      <c r="H252" s="110">
        <f>SUM(H253:H254)</f>
        <v>0</v>
      </c>
      <c r="I252" s="99">
        <v>0</v>
      </c>
      <c r="J252" s="113"/>
      <c r="K252" s="114"/>
      <c r="L252" s="110">
        <f>SUM(L253:L254)</f>
        <v>0</v>
      </c>
    </row>
    <row r="253" spans="1:12" ht="32.25" customHeight="1">
      <c r="A253" s="28">
        <v>246</v>
      </c>
      <c r="B253" s="34" t="s">
        <v>245</v>
      </c>
      <c r="C253" s="30">
        <v>901</v>
      </c>
      <c r="D253" s="39">
        <v>505</v>
      </c>
      <c r="E253" s="38" t="s">
        <v>186</v>
      </c>
      <c r="F253" s="38" t="s">
        <v>67</v>
      </c>
      <c r="G253" s="115">
        <v>393.5</v>
      </c>
      <c r="H253" s="100">
        <f>393.5-393.5</f>
        <v>0</v>
      </c>
      <c r="I253" s="115">
        <v>0</v>
      </c>
      <c r="J253" s="113"/>
      <c r="K253" s="114"/>
      <c r="L253" s="100">
        <f>393.5-393.5</f>
        <v>0</v>
      </c>
    </row>
    <row r="254" spans="1:12" ht="13.5">
      <c r="A254" s="28">
        <v>247</v>
      </c>
      <c r="B254" s="34" t="s">
        <v>275</v>
      </c>
      <c r="C254" s="30">
        <v>901</v>
      </c>
      <c r="D254" s="39">
        <v>505</v>
      </c>
      <c r="E254" s="38" t="s">
        <v>186</v>
      </c>
      <c r="F254" s="38" t="s">
        <v>274</v>
      </c>
      <c r="G254" s="115">
        <v>919.5</v>
      </c>
      <c r="H254" s="100">
        <f>919.5-919.5</f>
        <v>0</v>
      </c>
      <c r="I254" s="115">
        <v>0</v>
      </c>
      <c r="J254" s="113"/>
      <c r="K254" s="114"/>
      <c r="L254" s="100">
        <f>919.5-919.5</f>
        <v>0</v>
      </c>
    </row>
    <row r="255" spans="1:12" ht="67.5">
      <c r="A255" s="28">
        <v>248</v>
      </c>
      <c r="B255" s="19" t="s">
        <v>129</v>
      </c>
      <c r="C255" s="28">
        <v>901</v>
      </c>
      <c r="D255" s="36">
        <v>505</v>
      </c>
      <c r="E255" s="37" t="s">
        <v>235</v>
      </c>
      <c r="F255" s="38"/>
      <c r="G255" s="99">
        <f>SUM(G256)</f>
        <v>21</v>
      </c>
      <c r="H255" s="110">
        <f>H256</f>
        <v>0</v>
      </c>
      <c r="I255" s="99">
        <v>0</v>
      </c>
      <c r="J255" s="113"/>
      <c r="K255" s="114"/>
      <c r="L255" s="110">
        <f>L256</f>
        <v>0</v>
      </c>
    </row>
    <row r="256" spans="1:12" ht="41.25" customHeight="1">
      <c r="A256" s="28">
        <v>249</v>
      </c>
      <c r="B256" s="34" t="s">
        <v>249</v>
      </c>
      <c r="C256" s="30">
        <v>901</v>
      </c>
      <c r="D256" s="39">
        <v>505</v>
      </c>
      <c r="E256" s="38" t="s">
        <v>235</v>
      </c>
      <c r="F256" s="38" t="s">
        <v>47</v>
      </c>
      <c r="G256" s="115">
        <v>21</v>
      </c>
      <c r="H256" s="100">
        <v>0</v>
      </c>
      <c r="I256" s="115">
        <v>0</v>
      </c>
      <c r="J256" s="113"/>
      <c r="K256" s="114"/>
      <c r="L256" s="100">
        <f>21-21</f>
        <v>0</v>
      </c>
    </row>
    <row r="257" spans="1:12" ht="54">
      <c r="A257" s="28">
        <v>250</v>
      </c>
      <c r="B257" s="72" t="s">
        <v>349</v>
      </c>
      <c r="C257" s="28">
        <v>901</v>
      </c>
      <c r="D257" s="74">
        <v>505</v>
      </c>
      <c r="E257" s="61" t="s">
        <v>189</v>
      </c>
      <c r="F257" s="56"/>
      <c r="G257" s="125">
        <f>SUM(G258)</f>
        <v>50</v>
      </c>
      <c r="H257" s="124">
        <f>H258</f>
        <v>0</v>
      </c>
      <c r="I257" s="125">
        <v>0</v>
      </c>
      <c r="J257" s="113"/>
      <c r="K257" s="114"/>
      <c r="L257" s="124">
        <f>L258</f>
        <v>0</v>
      </c>
    </row>
    <row r="258" spans="1:12" ht="29.25" customHeight="1">
      <c r="A258" s="44">
        <v>251</v>
      </c>
      <c r="B258" s="72" t="s">
        <v>328</v>
      </c>
      <c r="C258" s="28">
        <v>901</v>
      </c>
      <c r="D258" s="74">
        <v>505</v>
      </c>
      <c r="E258" s="61" t="s">
        <v>189</v>
      </c>
      <c r="F258" s="56"/>
      <c r="G258" s="125">
        <f>SUM(G259)</f>
        <v>50</v>
      </c>
      <c r="H258" s="124">
        <f>H259</f>
        <v>0</v>
      </c>
      <c r="I258" s="125">
        <v>0</v>
      </c>
      <c r="J258" s="113"/>
      <c r="K258" s="114"/>
      <c r="L258" s="124">
        <f>L259</f>
        <v>0</v>
      </c>
    </row>
    <row r="259" spans="1:12" ht="30" customHeight="1">
      <c r="A259" s="44">
        <v>252</v>
      </c>
      <c r="B259" s="34" t="s">
        <v>245</v>
      </c>
      <c r="C259" s="30">
        <v>901</v>
      </c>
      <c r="D259" s="55">
        <v>505</v>
      </c>
      <c r="E259" s="56" t="s">
        <v>189</v>
      </c>
      <c r="F259" s="56" t="s">
        <v>67</v>
      </c>
      <c r="G259" s="122">
        <v>50</v>
      </c>
      <c r="H259" s="121">
        <v>0</v>
      </c>
      <c r="I259" s="122">
        <v>0</v>
      </c>
      <c r="J259" s="113"/>
      <c r="K259" s="114"/>
      <c r="L259" s="121">
        <v>0</v>
      </c>
    </row>
    <row r="260" spans="1:12" ht="19.5" customHeight="1">
      <c r="A260" s="44"/>
      <c r="B260" s="19" t="s">
        <v>63</v>
      </c>
      <c r="C260" s="28">
        <v>901</v>
      </c>
      <c r="D260" s="74">
        <v>505</v>
      </c>
      <c r="E260" s="61" t="s">
        <v>143</v>
      </c>
      <c r="F260" s="61"/>
      <c r="G260" s="125">
        <v>0</v>
      </c>
      <c r="H260" s="124">
        <v>0</v>
      </c>
      <c r="I260" s="125">
        <f>SUM(I261)</f>
        <v>78.9</v>
      </c>
      <c r="J260" s="111"/>
      <c r="K260" s="112"/>
      <c r="L260" s="124">
        <v>0</v>
      </c>
    </row>
    <row r="261" spans="1:12" ht="22.5" customHeight="1">
      <c r="A261" s="44"/>
      <c r="B261" s="51" t="s">
        <v>7</v>
      </c>
      <c r="C261" s="28">
        <v>901</v>
      </c>
      <c r="D261" s="74">
        <v>505</v>
      </c>
      <c r="E261" s="61" t="s">
        <v>145</v>
      </c>
      <c r="F261" s="61"/>
      <c r="G261" s="125">
        <v>0</v>
      </c>
      <c r="H261" s="124">
        <v>0</v>
      </c>
      <c r="I261" s="125">
        <f>SUM(I262)</f>
        <v>78.9</v>
      </c>
      <c r="J261" s="111"/>
      <c r="K261" s="112"/>
      <c r="L261" s="124">
        <v>0</v>
      </c>
    </row>
    <row r="262" spans="1:12" ht="30" customHeight="1">
      <c r="A262" s="44"/>
      <c r="B262" s="34" t="s">
        <v>249</v>
      </c>
      <c r="C262" s="30">
        <v>901</v>
      </c>
      <c r="D262" s="55">
        <v>505</v>
      </c>
      <c r="E262" s="56" t="s">
        <v>145</v>
      </c>
      <c r="F262" s="56" t="s">
        <v>47</v>
      </c>
      <c r="G262" s="122">
        <v>0</v>
      </c>
      <c r="H262" s="121">
        <v>0</v>
      </c>
      <c r="I262" s="122">
        <v>78.9</v>
      </c>
      <c r="J262" s="113"/>
      <c r="K262" s="114"/>
      <c r="L262" s="121">
        <v>0</v>
      </c>
    </row>
    <row r="263" spans="1:12" ht="20.25" customHeight="1">
      <c r="A263" s="28">
        <v>253</v>
      </c>
      <c r="B263" s="19" t="s">
        <v>18</v>
      </c>
      <c r="C263" s="28">
        <v>901</v>
      </c>
      <c r="D263" s="36">
        <v>600</v>
      </c>
      <c r="E263" s="37"/>
      <c r="F263" s="38"/>
      <c r="G263" s="99">
        <f>SUM(G264)</f>
        <v>440.7</v>
      </c>
      <c r="H263" s="110">
        <f>H264</f>
        <v>388.8993</v>
      </c>
      <c r="I263" s="99">
        <f>SUM(I264)</f>
        <v>388.9</v>
      </c>
      <c r="J263" s="113"/>
      <c r="K263" s="114"/>
      <c r="L263" s="110">
        <f>L264</f>
        <v>100.00017999518127</v>
      </c>
    </row>
    <row r="264" spans="1:12" ht="25.5" customHeight="1">
      <c r="A264" s="28">
        <v>254</v>
      </c>
      <c r="B264" s="19" t="s">
        <v>19</v>
      </c>
      <c r="C264" s="28">
        <v>901</v>
      </c>
      <c r="D264" s="36">
        <v>603</v>
      </c>
      <c r="E264" s="37"/>
      <c r="F264" s="38"/>
      <c r="G264" s="99">
        <f>SUM(G265)</f>
        <v>440.7</v>
      </c>
      <c r="H264" s="110">
        <f>SUM(H265)</f>
        <v>388.8993</v>
      </c>
      <c r="I264" s="99">
        <f>SUM(I265)</f>
        <v>388.9</v>
      </c>
      <c r="J264" s="113"/>
      <c r="K264" s="114"/>
      <c r="L264" s="110">
        <f>SUM(L265)</f>
        <v>100.00017999518127</v>
      </c>
    </row>
    <row r="265" spans="1:12" ht="40.5">
      <c r="A265" s="44">
        <v>255</v>
      </c>
      <c r="B265" s="19" t="s">
        <v>429</v>
      </c>
      <c r="C265" s="28">
        <v>901</v>
      </c>
      <c r="D265" s="36">
        <v>603</v>
      </c>
      <c r="E265" s="37" t="s">
        <v>190</v>
      </c>
      <c r="F265" s="38"/>
      <c r="G265" s="99">
        <f>SUM(G266)</f>
        <v>440.7</v>
      </c>
      <c r="H265" s="110">
        <f>SUM(H266)</f>
        <v>388.8993</v>
      </c>
      <c r="I265" s="99">
        <f>SUM(I266)</f>
        <v>388.9</v>
      </c>
      <c r="J265" s="113"/>
      <c r="K265" s="114"/>
      <c r="L265" s="110">
        <f>SUM(L266)</f>
        <v>100.00017999518127</v>
      </c>
    </row>
    <row r="266" spans="1:12" ht="46.5" customHeight="1">
      <c r="A266" s="44">
        <v>256</v>
      </c>
      <c r="B266" s="19" t="s">
        <v>90</v>
      </c>
      <c r="C266" s="28">
        <v>901</v>
      </c>
      <c r="D266" s="36">
        <v>603</v>
      </c>
      <c r="E266" s="37" t="s">
        <v>190</v>
      </c>
      <c r="F266" s="38"/>
      <c r="G266" s="99">
        <f>SUM(G267)</f>
        <v>440.7</v>
      </c>
      <c r="H266" s="110">
        <f>H267</f>
        <v>388.8993</v>
      </c>
      <c r="I266" s="99">
        <f>SUM(I267)</f>
        <v>388.9</v>
      </c>
      <c r="J266" s="113"/>
      <c r="K266" s="114"/>
      <c r="L266" s="110">
        <f>L267</f>
        <v>100.00017999518127</v>
      </c>
    </row>
    <row r="267" spans="1:12" ht="31.5" customHeight="1">
      <c r="A267" s="28">
        <v>257</v>
      </c>
      <c r="B267" s="34" t="s">
        <v>245</v>
      </c>
      <c r="C267" s="30">
        <v>901</v>
      </c>
      <c r="D267" s="39">
        <v>603</v>
      </c>
      <c r="E267" s="38" t="s">
        <v>190</v>
      </c>
      <c r="F267" s="38" t="s">
        <v>67</v>
      </c>
      <c r="G267" s="115">
        <v>440.7</v>
      </c>
      <c r="H267" s="100">
        <f>440.7-0.0653-0.15471-50-1.533-0.04769</f>
        <v>388.8993</v>
      </c>
      <c r="I267" s="115">
        <v>388.9</v>
      </c>
      <c r="J267" s="113"/>
      <c r="K267" s="114"/>
      <c r="L267" s="100">
        <f>I267/H267*100</f>
        <v>100.00017999518127</v>
      </c>
    </row>
    <row r="268" spans="1:12" ht="18" customHeight="1">
      <c r="A268" s="28">
        <v>258</v>
      </c>
      <c r="B268" s="19" t="s">
        <v>20</v>
      </c>
      <c r="C268" s="28">
        <v>901</v>
      </c>
      <c r="D268" s="36">
        <v>700</v>
      </c>
      <c r="E268" s="37"/>
      <c r="F268" s="38"/>
      <c r="G268" s="99">
        <f>SUM(G269+G283+G306+G315)</f>
        <v>126806.315</v>
      </c>
      <c r="H268" s="110">
        <f>SUM(H269+H283+H306+H315)</f>
        <v>136215.08136</v>
      </c>
      <c r="I268" s="99">
        <f>SUM(I269+I283+I306+I315)</f>
        <v>134735.674</v>
      </c>
      <c r="J268" s="113"/>
      <c r="K268" s="114"/>
      <c r="L268" s="110">
        <f>I268/H268*100</f>
        <v>98.91391808804921</v>
      </c>
    </row>
    <row r="269" spans="1:12" ht="17.25" customHeight="1">
      <c r="A269" s="28">
        <v>259</v>
      </c>
      <c r="B269" s="19" t="s">
        <v>21</v>
      </c>
      <c r="C269" s="28">
        <v>901</v>
      </c>
      <c r="D269" s="36">
        <v>701</v>
      </c>
      <c r="E269" s="37"/>
      <c r="F269" s="38"/>
      <c r="G269" s="99">
        <f>SUM(G270)</f>
        <v>39447</v>
      </c>
      <c r="H269" s="110">
        <f>SUM(H270)</f>
        <v>45636.99636</v>
      </c>
      <c r="I269" s="99">
        <f>SUM(I270)</f>
        <v>45076.5</v>
      </c>
      <c r="J269" s="113"/>
      <c r="K269" s="114"/>
      <c r="L269" s="110">
        <f>SUM(L270)</f>
        <v>98.7718377529086</v>
      </c>
    </row>
    <row r="270" spans="1:12" ht="40.5">
      <c r="A270" s="28">
        <v>260</v>
      </c>
      <c r="B270" s="19" t="s">
        <v>394</v>
      </c>
      <c r="C270" s="28">
        <v>901</v>
      </c>
      <c r="D270" s="36">
        <v>701</v>
      </c>
      <c r="E270" s="37" t="s">
        <v>191</v>
      </c>
      <c r="F270" s="38"/>
      <c r="G270" s="99">
        <f>SUM(G271+G276+G278)</f>
        <v>39447</v>
      </c>
      <c r="H270" s="110">
        <f>SUM(H271+H276+H278)</f>
        <v>45636.99636</v>
      </c>
      <c r="I270" s="99">
        <f>SUM(I271+I276+I278)</f>
        <v>45076.5</v>
      </c>
      <c r="J270" s="113"/>
      <c r="K270" s="114"/>
      <c r="L270" s="110">
        <f>I270/H270*100</f>
        <v>98.7718377529086</v>
      </c>
    </row>
    <row r="271" spans="1:12" ht="27">
      <c r="A271" s="28">
        <v>261</v>
      </c>
      <c r="B271" s="19" t="s">
        <v>91</v>
      </c>
      <c r="C271" s="28">
        <v>901</v>
      </c>
      <c r="D271" s="36">
        <v>701</v>
      </c>
      <c r="E271" s="37" t="s">
        <v>192</v>
      </c>
      <c r="F271" s="38"/>
      <c r="G271" s="99">
        <f>SUM(G272)</f>
        <v>22000</v>
      </c>
      <c r="H271" s="110">
        <f>SUM(H272)</f>
        <v>24764.071359999998</v>
      </c>
      <c r="I271" s="99">
        <f>SUM(I272)</f>
        <v>24203.600000000002</v>
      </c>
      <c r="J271" s="113"/>
      <c r="K271" s="114"/>
      <c r="L271" s="110">
        <f>SUM(L272)</f>
        <v>97.73675599681361</v>
      </c>
    </row>
    <row r="272" spans="1:12" ht="54">
      <c r="A272" s="28">
        <v>262</v>
      </c>
      <c r="B272" s="19" t="s">
        <v>92</v>
      </c>
      <c r="C272" s="28">
        <v>901</v>
      </c>
      <c r="D272" s="36">
        <v>701</v>
      </c>
      <c r="E272" s="37" t="s">
        <v>193</v>
      </c>
      <c r="F272" s="38"/>
      <c r="G272" s="99">
        <f>SUM(G273:G275)</f>
        <v>22000</v>
      </c>
      <c r="H272" s="110">
        <f>SUM(H273:H275)</f>
        <v>24764.071359999998</v>
      </c>
      <c r="I272" s="99">
        <f>SUM(I273:I275)</f>
        <v>24203.600000000002</v>
      </c>
      <c r="J272" s="113"/>
      <c r="K272" s="114"/>
      <c r="L272" s="110">
        <f>I272/H272*100</f>
        <v>97.73675599681361</v>
      </c>
    </row>
    <row r="273" spans="1:12" ht="21" customHeight="1">
      <c r="A273" s="28">
        <v>263</v>
      </c>
      <c r="B273" s="34" t="s">
        <v>38</v>
      </c>
      <c r="C273" s="30">
        <v>901</v>
      </c>
      <c r="D273" s="39">
        <v>701</v>
      </c>
      <c r="E273" s="38" t="s">
        <v>193</v>
      </c>
      <c r="F273" s="38" t="s">
        <v>37</v>
      </c>
      <c r="G273" s="115">
        <v>13412</v>
      </c>
      <c r="H273" s="100">
        <f>13412-0.26564+107.916</f>
        <v>13519.65036</v>
      </c>
      <c r="I273" s="115">
        <v>13519.7</v>
      </c>
      <c r="J273" s="113"/>
      <c r="K273" s="114"/>
      <c r="L273" s="100">
        <f>I273/H273*100</f>
        <v>100.00036716925867</v>
      </c>
    </row>
    <row r="274" spans="1:12" ht="28.5" customHeight="1">
      <c r="A274" s="28">
        <v>264</v>
      </c>
      <c r="B274" s="34" t="s">
        <v>245</v>
      </c>
      <c r="C274" s="30">
        <v>901</v>
      </c>
      <c r="D274" s="39">
        <v>701</v>
      </c>
      <c r="E274" s="38" t="s">
        <v>193</v>
      </c>
      <c r="F274" s="38" t="s">
        <v>67</v>
      </c>
      <c r="G274" s="115">
        <v>8188</v>
      </c>
      <c r="H274" s="100">
        <f>8188+369.631-272.101+696.672-3.5</f>
        <v>8978.702</v>
      </c>
      <c r="I274" s="115">
        <v>8418.2</v>
      </c>
      <c r="J274" s="113"/>
      <c r="K274" s="114"/>
      <c r="L274" s="100">
        <f>I274/H274*100</f>
        <v>93.75742729851154</v>
      </c>
    </row>
    <row r="275" spans="1:12" ht="19.5" customHeight="1">
      <c r="A275" s="44">
        <v>265</v>
      </c>
      <c r="B275" s="34" t="s">
        <v>237</v>
      </c>
      <c r="C275" s="30">
        <v>901</v>
      </c>
      <c r="D275" s="39">
        <v>701</v>
      </c>
      <c r="E275" s="38" t="s">
        <v>193</v>
      </c>
      <c r="F275" s="38" t="s">
        <v>238</v>
      </c>
      <c r="G275" s="115">
        <v>400</v>
      </c>
      <c r="H275" s="100">
        <f>400+876.068+714+272.101+3.55</f>
        <v>2265.719</v>
      </c>
      <c r="I275" s="115">
        <v>2265.7</v>
      </c>
      <c r="J275" s="113"/>
      <c r="K275" s="114"/>
      <c r="L275" s="100">
        <f>I275/H275*100</f>
        <v>99.99916141410297</v>
      </c>
    </row>
    <row r="276" spans="1:12" ht="53.25" customHeight="1">
      <c r="A276" s="44">
        <v>266</v>
      </c>
      <c r="B276" s="51" t="s">
        <v>387</v>
      </c>
      <c r="C276" s="44">
        <v>901</v>
      </c>
      <c r="D276" s="46">
        <v>701</v>
      </c>
      <c r="E276" s="47" t="s">
        <v>388</v>
      </c>
      <c r="F276" s="47"/>
      <c r="G276" s="117">
        <f>SUM(G277)</f>
        <v>0</v>
      </c>
      <c r="H276" s="118">
        <f>SUM(H277)</f>
        <v>1796.225</v>
      </c>
      <c r="I276" s="117">
        <f>SUM(I277)</f>
        <v>1796.2</v>
      </c>
      <c r="J276" s="119"/>
      <c r="K276" s="119"/>
      <c r="L276" s="118">
        <f>SUM(L277)</f>
        <v>99.99860819218082</v>
      </c>
    </row>
    <row r="277" spans="1:12" ht="30.75" customHeight="1">
      <c r="A277" s="28">
        <v>267</v>
      </c>
      <c r="B277" s="48" t="s">
        <v>245</v>
      </c>
      <c r="C277" s="49">
        <v>901</v>
      </c>
      <c r="D277" s="50">
        <v>701</v>
      </c>
      <c r="E277" s="42" t="s">
        <v>388</v>
      </c>
      <c r="F277" s="42" t="s">
        <v>67</v>
      </c>
      <c r="G277" s="116">
        <v>0</v>
      </c>
      <c r="H277" s="100">
        <f>2492.632-696.407</f>
        <v>1796.225</v>
      </c>
      <c r="I277" s="116">
        <v>1796.2</v>
      </c>
      <c r="J277" s="120"/>
      <c r="K277" s="120"/>
      <c r="L277" s="100">
        <f>I277/H277*100</f>
        <v>99.99860819218082</v>
      </c>
    </row>
    <row r="278" spans="1:12" ht="58.5" customHeight="1">
      <c r="A278" s="28"/>
      <c r="B278" s="19" t="s">
        <v>93</v>
      </c>
      <c r="C278" s="28">
        <v>901</v>
      </c>
      <c r="D278" s="36">
        <v>701</v>
      </c>
      <c r="E278" s="37" t="s">
        <v>194</v>
      </c>
      <c r="F278" s="38"/>
      <c r="G278" s="99">
        <f>SUM(G279+G281)</f>
        <v>17447</v>
      </c>
      <c r="H278" s="110">
        <f>SUM(H279+H281)</f>
        <v>19076.7</v>
      </c>
      <c r="I278" s="99">
        <f>SUM(I279+I281)</f>
        <v>19076.7</v>
      </c>
      <c r="J278" s="113"/>
      <c r="K278" s="114"/>
      <c r="L278" s="110">
        <f>I278/H278*100</f>
        <v>100</v>
      </c>
    </row>
    <row r="279" spans="1:12" ht="81">
      <c r="A279" s="28">
        <v>268</v>
      </c>
      <c r="B279" s="19" t="s">
        <v>94</v>
      </c>
      <c r="C279" s="28">
        <v>901</v>
      </c>
      <c r="D279" s="36">
        <v>701</v>
      </c>
      <c r="E279" s="37" t="s">
        <v>241</v>
      </c>
      <c r="F279" s="37"/>
      <c r="G279" s="99">
        <f>SUM(G280)</f>
        <v>17120</v>
      </c>
      <c r="H279" s="110">
        <f>SUM(H280)</f>
        <v>18736.7</v>
      </c>
      <c r="I279" s="99">
        <f>SUM(I280)</f>
        <v>18736.7</v>
      </c>
      <c r="J279" s="111"/>
      <c r="K279" s="112"/>
      <c r="L279" s="110">
        <f>SUM(L280)</f>
        <v>100</v>
      </c>
    </row>
    <row r="280" spans="1:12" ht="13.5">
      <c r="A280" s="44">
        <v>269</v>
      </c>
      <c r="B280" s="34" t="s">
        <v>38</v>
      </c>
      <c r="C280" s="30">
        <v>901</v>
      </c>
      <c r="D280" s="39">
        <v>701</v>
      </c>
      <c r="E280" s="38" t="s">
        <v>241</v>
      </c>
      <c r="F280" s="38" t="s">
        <v>37</v>
      </c>
      <c r="G280" s="115">
        <v>17120</v>
      </c>
      <c r="H280" s="100">
        <f>17120-13+1629.7</f>
        <v>18736.7</v>
      </c>
      <c r="I280" s="115">
        <v>18736.7</v>
      </c>
      <c r="J280" s="113"/>
      <c r="K280" s="114"/>
      <c r="L280" s="100">
        <f>I280/H280*100</f>
        <v>100</v>
      </c>
    </row>
    <row r="281" spans="1:12" ht="81">
      <c r="A281" s="44">
        <v>270</v>
      </c>
      <c r="B281" s="19" t="s">
        <v>95</v>
      </c>
      <c r="C281" s="28">
        <v>901</v>
      </c>
      <c r="D281" s="36">
        <v>701</v>
      </c>
      <c r="E281" s="37" t="s">
        <v>242</v>
      </c>
      <c r="F281" s="37"/>
      <c r="G281" s="99">
        <f>SUM(G282)</f>
        <v>327</v>
      </c>
      <c r="H281" s="110">
        <f>SUM(H282)</f>
        <v>340</v>
      </c>
      <c r="I281" s="99">
        <f>SUM(I282)</f>
        <v>340</v>
      </c>
      <c r="J281" s="111"/>
      <c r="K281" s="112"/>
      <c r="L281" s="110">
        <f>SUM(L282)</f>
        <v>100</v>
      </c>
    </row>
    <row r="282" spans="1:12" ht="27" customHeight="1">
      <c r="A282" s="28">
        <v>271</v>
      </c>
      <c r="B282" s="34" t="s">
        <v>245</v>
      </c>
      <c r="C282" s="30">
        <v>901</v>
      </c>
      <c r="D282" s="39">
        <v>701</v>
      </c>
      <c r="E282" s="38" t="s">
        <v>242</v>
      </c>
      <c r="F282" s="38" t="s">
        <v>67</v>
      </c>
      <c r="G282" s="115">
        <v>327</v>
      </c>
      <c r="H282" s="100">
        <f>327+13</f>
        <v>340</v>
      </c>
      <c r="I282" s="115">
        <v>340</v>
      </c>
      <c r="J282" s="113"/>
      <c r="K282" s="114"/>
      <c r="L282" s="100">
        <f>I282/H282*100</f>
        <v>100</v>
      </c>
    </row>
    <row r="283" spans="1:12" ht="20.25" customHeight="1">
      <c r="A283" s="28">
        <v>272</v>
      </c>
      <c r="B283" s="19" t="s">
        <v>22</v>
      </c>
      <c r="C283" s="28">
        <v>901</v>
      </c>
      <c r="D283" s="36">
        <v>702</v>
      </c>
      <c r="E283" s="37"/>
      <c r="F283" s="38"/>
      <c r="G283" s="99">
        <f>SUM(G284)</f>
        <v>76638.8</v>
      </c>
      <c r="H283" s="110">
        <f>SUM(H284+H303)</f>
        <v>79205.95599999999</v>
      </c>
      <c r="I283" s="99">
        <f>SUM(I284)</f>
        <v>78303.3</v>
      </c>
      <c r="J283" s="113"/>
      <c r="K283" s="114"/>
      <c r="L283" s="110">
        <f>SUM(L284+L303)</f>
        <v>98.86036853087161</v>
      </c>
    </row>
    <row r="284" spans="1:12" ht="40.5">
      <c r="A284" s="28">
        <v>273</v>
      </c>
      <c r="B284" s="19" t="s">
        <v>394</v>
      </c>
      <c r="C284" s="28">
        <v>901</v>
      </c>
      <c r="D284" s="36">
        <v>702</v>
      </c>
      <c r="E284" s="37" t="s">
        <v>191</v>
      </c>
      <c r="F284" s="38"/>
      <c r="G284" s="99">
        <f>SUM(G285+G291+G293+G299+G301)</f>
        <v>76638.8</v>
      </c>
      <c r="H284" s="110">
        <f>SUM(H285+H291+H293+H299+H301)</f>
        <v>79205.95599999999</v>
      </c>
      <c r="I284" s="99">
        <f>SUM(I285+I291+I293+I299+I301)</f>
        <v>78303.3</v>
      </c>
      <c r="J284" s="113"/>
      <c r="K284" s="114"/>
      <c r="L284" s="110">
        <f>I284/H284*100</f>
        <v>98.86036853087161</v>
      </c>
    </row>
    <row r="285" spans="1:12" ht="27">
      <c r="A285" s="28">
        <v>274</v>
      </c>
      <c r="B285" s="19" t="s">
        <v>96</v>
      </c>
      <c r="C285" s="28">
        <v>901</v>
      </c>
      <c r="D285" s="36">
        <v>702</v>
      </c>
      <c r="E285" s="37" t="s">
        <v>195</v>
      </c>
      <c r="F285" s="38"/>
      <c r="G285" s="99">
        <f>SUM(G286)</f>
        <v>30072.800000000003</v>
      </c>
      <c r="H285" s="110">
        <f>H286</f>
        <v>31070.356999999996</v>
      </c>
      <c r="I285" s="99">
        <f>SUM(I286)</f>
        <v>30956.7</v>
      </c>
      <c r="J285" s="113"/>
      <c r="K285" s="114"/>
      <c r="L285" s="110">
        <f>L286</f>
        <v>99.63419474066552</v>
      </c>
    </row>
    <row r="286" spans="1:12" ht="40.5">
      <c r="A286" s="28">
        <v>275</v>
      </c>
      <c r="B286" s="19" t="s">
        <v>97</v>
      </c>
      <c r="C286" s="28">
        <v>901</v>
      </c>
      <c r="D286" s="36">
        <v>702</v>
      </c>
      <c r="E286" s="37" t="s">
        <v>196</v>
      </c>
      <c r="F286" s="38"/>
      <c r="G286" s="99">
        <f>SUM(G287:G290)</f>
        <v>30072.800000000003</v>
      </c>
      <c r="H286" s="110">
        <f>SUM(H287:H290)</f>
        <v>31070.356999999996</v>
      </c>
      <c r="I286" s="99">
        <f>SUM(I287:I290)</f>
        <v>30956.7</v>
      </c>
      <c r="J286" s="113"/>
      <c r="K286" s="114"/>
      <c r="L286" s="110">
        <f>I286/H286*100</f>
        <v>99.63419474066552</v>
      </c>
    </row>
    <row r="287" spans="1:12" ht="16.5" customHeight="1">
      <c r="A287" s="28">
        <v>276</v>
      </c>
      <c r="B287" s="34" t="s">
        <v>38</v>
      </c>
      <c r="C287" s="30">
        <v>901</v>
      </c>
      <c r="D287" s="39">
        <v>702</v>
      </c>
      <c r="E287" s="38" t="s">
        <v>196</v>
      </c>
      <c r="F287" s="38" t="s">
        <v>37</v>
      </c>
      <c r="G287" s="115">
        <v>14755.6</v>
      </c>
      <c r="H287" s="100">
        <f>14755.605-83.378+100+45.57</f>
        <v>14817.796999999999</v>
      </c>
      <c r="I287" s="115">
        <v>14817.8</v>
      </c>
      <c r="J287" s="113"/>
      <c r="K287" s="114"/>
      <c r="L287" s="100">
        <f>I287/H287*100</f>
        <v>100.00002024592456</v>
      </c>
    </row>
    <row r="288" spans="1:12" ht="29.25" customHeight="1">
      <c r="A288" s="28">
        <v>277</v>
      </c>
      <c r="B288" s="34" t="s">
        <v>245</v>
      </c>
      <c r="C288" s="30">
        <v>901</v>
      </c>
      <c r="D288" s="39">
        <v>702</v>
      </c>
      <c r="E288" s="38" t="s">
        <v>196</v>
      </c>
      <c r="F288" s="38" t="s">
        <v>67</v>
      </c>
      <c r="G288" s="115">
        <v>15175.7</v>
      </c>
      <c r="H288" s="100">
        <f>15175.7-3+103.04+69.639+24.5+75+0.407+0.132</f>
        <v>15445.418</v>
      </c>
      <c r="I288" s="115">
        <v>15331.7</v>
      </c>
      <c r="J288" s="113"/>
      <c r="K288" s="114"/>
      <c r="L288" s="100">
        <f>I288/H288*100</f>
        <v>99.26374281356452</v>
      </c>
    </row>
    <row r="289" spans="1:12" ht="29.25" customHeight="1">
      <c r="A289" s="28">
        <v>278</v>
      </c>
      <c r="B289" s="34" t="s">
        <v>350</v>
      </c>
      <c r="C289" s="30">
        <v>901</v>
      </c>
      <c r="D289" s="39">
        <v>702</v>
      </c>
      <c r="E289" s="38" t="s">
        <v>196</v>
      </c>
      <c r="F289" s="38" t="s">
        <v>352</v>
      </c>
      <c r="G289" s="115">
        <v>0</v>
      </c>
      <c r="H289" s="100">
        <v>710.36</v>
      </c>
      <c r="I289" s="115">
        <v>710.4</v>
      </c>
      <c r="J289" s="113"/>
      <c r="K289" s="114"/>
      <c r="L289" s="100">
        <f>I289/H289*100</f>
        <v>100.00563094768849</v>
      </c>
    </row>
    <row r="290" spans="1:12" ht="19.5" customHeight="1">
      <c r="A290" s="28">
        <v>279</v>
      </c>
      <c r="B290" s="34" t="s">
        <v>237</v>
      </c>
      <c r="C290" s="30">
        <v>901</v>
      </c>
      <c r="D290" s="39">
        <v>702</v>
      </c>
      <c r="E290" s="38" t="s">
        <v>196</v>
      </c>
      <c r="F290" s="38" t="s">
        <v>238</v>
      </c>
      <c r="G290" s="115">
        <v>141.5</v>
      </c>
      <c r="H290" s="100">
        <f>141.5+3-32.922+10.104-24.5-0.4</f>
        <v>96.782</v>
      </c>
      <c r="I290" s="115">
        <v>96.8</v>
      </c>
      <c r="J290" s="113"/>
      <c r="K290" s="114"/>
      <c r="L290" s="100">
        <f>I290/H290*100</f>
        <v>100.01859849972104</v>
      </c>
    </row>
    <row r="291" spans="1:12" ht="51.75" customHeight="1">
      <c r="A291" s="28">
        <v>280</v>
      </c>
      <c r="B291" s="51" t="s">
        <v>381</v>
      </c>
      <c r="C291" s="44">
        <v>901</v>
      </c>
      <c r="D291" s="46">
        <v>702</v>
      </c>
      <c r="E291" s="47" t="s">
        <v>382</v>
      </c>
      <c r="F291" s="47"/>
      <c r="G291" s="117">
        <f>SUM(G292)</f>
        <v>0</v>
      </c>
      <c r="H291" s="118">
        <f>SUM(H292)</f>
        <v>249.233</v>
      </c>
      <c r="I291" s="117">
        <f>SUM(I292)</f>
        <v>249.2</v>
      </c>
      <c r="J291" s="119"/>
      <c r="K291" s="119"/>
      <c r="L291" s="118">
        <f>SUM(L292)</f>
        <v>99.986759377771</v>
      </c>
    </row>
    <row r="292" spans="1:12" ht="33" customHeight="1">
      <c r="A292" s="28">
        <v>281</v>
      </c>
      <c r="B292" s="48" t="s">
        <v>245</v>
      </c>
      <c r="C292" s="49">
        <v>901</v>
      </c>
      <c r="D292" s="50">
        <v>702</v>
      </c>
      <c r="E292" s="42" t="s">
        <v>382</v>
      </c>
      <c r="F292" s="42" t="s">
        <v>67</v>
      </c>
      <c r="G292" s="116">
        <v>0</v>
      </c>
      <c r="H292" s="100">
        <f>143.141+106.092</f>
        <v>249.233</v>
      </c>
      <c r="I292" s="116">
        <v>249.2</v>
      </c>
      <c r="J292" s="120"/>
      <c r="K292" s="120"/>
      <c r="L292" s="100">
        <f>I292/H292*100</f>
        <v>99.986759377771</v>
      </c>
    </row>
    <row r="293" spans="1:12" ht="51.75" customHeight="1">
      <c r="A293" s="28">
        <v>282</v>
      </c>
      <c r="B293" s="19" t="s">
        <v>100</v>
      </c>
      <c r="C293" s="28">
        <v>901</v>
      </c>
      <c r="D293" s="36">
        <v>702</v>
      </c>
      <c r="E293" s="37" t="s">
        <v>199</v>
      </c>
      <c r="F293" s="38"/>
      <c r="G293" s="99">
        <f>SUM(G294+G296)</f>
        <v>42848</v>
      </c>
      <c r="H293" s="110">
        <f>SUM(H294+H296)</f>
        <v>43396.9</v>
      </c>
      <c r="I293" s="99">
        <f>SUM(I294+I296)</f>
        <v>43396.9</v>
      </c>
      <c r="J293" s="111"/>
      <c r="K293" s="112"/>
      <c r="L293" s="110">
        <f>I293/H293*100</f>
        <v>100</v>
      </c>
    </row>
    <row r="294" spans="1:12" ht="64.5" customHeight="1">
      <c r="A294" s="28">
        <v>283</v>
      </c>
      <c r="B294" s="19" t="s">
        <v>101</v>
      </c>
      <c r="C294" s="28">
        <v>901</v>
      </c>
      <c r="D294" s="36">
        <v>702</v>
      </c>
      <c r="E294" s="37" t="s">
        <v>239</v>
      </c>
      <c r="F294" s="37"/>
      <c r="G294" s="99">
        <f>SUM(G295)</f>
        <v>41365.4</v>
      </c>
      <c r="H294" s="110">
        <f>SUM(H295)</f>
        <v>41854.9</v>
      </c>
      <c r="I294" s="99">
        <f>SUM(I295)</f>
        <v>41854.9</v>
      </c>
      <c r="J294" s="111"/>
      <c r="K294" s="112"/>
      <c r="L294" s="110">
        <f>SUM(L295)</f>
        <v>100</v>
      </c>
    </row>
    <row r="295" spans="1:12" ht="18.75" customHeight="1">
      <c r="A295" s="28">
        <v>284</v>
      </c>
      <c r="B295" s="34" t="s">
        <v>38</v>
      </c>
      <c r="C295" s="30">
        <v>901</v>
      </c>
      <c r="D295" s="39">
        <v>702</v>
      </c>
      <c r="E295" s="38" t="s">
        <v>239</v>
      </c>
      <c r="F295" s="38" t="s">
        <v>37</v>
      </c>
      <c r="G295" s="115">
        <v>41365.4</v>
      </c>
      <c r="H295" s="100">
        <f>41365.4-59.4+548.9</f>
        <v>41854.9</v>
      </c>
      <c r="I295" s="115">
        <v>41854.9</v>
      </c>
      <c r="J295" s="113"/>
      <c r="K295" s="114"/>
      <c r="L295" s="100">
        <f>I295/H295*100</f>
        <v>100</v>
      </c>
    </row>
    <row r="296" spans="1:12" ht="105.75" customHeight="1">
      <c r="A296" s="28">
        <v>285</v>
      </c>
      <c r="B296" s="80" t="s">
        <v>291</v>
      </c>
      <c r="C296" s="28">
        <v>901</v>
      </c>
      <c r="D296" s="36">
        <v>702</v>
      </c>
      <c r="E296" s="37" t="s">
        <v>240</v>
      </c>
      <c r="F296" s="37"/>
      <c r="G296" s="99">
        <f>SUM(G297:G298)</f>
        <v>1482.6</v>
      </c>
      <c r="H296" s="110">
        <f>SUM(H297:H298)</f>
        <v>1542</v>
      </c>
      <c r="I296" s="99">
        <f>SUM(I297:I298)</f>
        <v>1542</v>
      </c>
      <c r="J296" s="111"/>
      <c r="K296" s="112"/>
      <c r="L296" s="110">
        <f>SUM(L297:L298)</f>
        <v>100.0401981792599</v>
      </c>
    </row>
    <row r="297" spans="1:12" ht="29.25" customHeight="1">
      <c r="A297" s="28">
        <v>286</v>
      </c>
      <c r="B297" s="34" t="s">
        <v>245</v>
      </c>
      <c r="C297" s="30">
        <v>901</v>
      </c>
      <c r="D297" s="39">
        <v>702</v>
      </c>
      <c r="E297" s="38" t="s">
        <v>240</v>
      </c>
      <c r="F297" s="38" t="s">
        <v>67</v>
      </c>
      <c r="G297" s="115">
        <v>1482.6</v>
      </c>
      <c r="H297" s="100">
        <f>1482.6+59.4-0.03775</f>
        <v>1541.96225</v>
      </c>
      <c r="I297" s="115">
        <v>1542</v>
      </c>
      <c r="J297" s="113"/>
      <c r="K297" s="114"/>
      <c r="L297" s="100">
        <f>I297/H297*100</f>
        <v>100.0024481792599</v>
      </c>
    </row>
    <row r="298" spans="1:12" ht="29.25" customHeight="1">
      <c r="A298" s="28">
        <v>287</v>
      </c>
      <c r="B298" s="34" t="s">
        <v>376</v>
      </c>
      <c r="C298" s="30">
        <v>901</v>
      </c>
      <c r="D298" s="39">
        <v>702</v>
      </c>
      <c r="E298" s="38" t="s">
        <v>240</v>
      </c>
      <c r="F298" s="38" t="s">
        <v>238</v>
      </c>
      <c r="G298" s="115">
        <v>0</v>
      </c>
      <c r="H298" s="100">
        <v>0.03775</v>
      </c>
      <c r="I298" s="115">
        <v>0</v>
      </c>
      <c r="J298" s="113"/>
      <c r="K298" s="114"/>
      <c r="L298" s="100">
        <v>0.03775</v>
      </c>
    </row>
    <row r="299" spans="1:12" ht="27">
      <c r="A299" s="28">
        <v>288</v>
      </c>
      <c r="B299" s="19" t="s">
        <v>102</v>
      </c>
      <c r="C299" s="28">
        <v>901</v>
      </c>
      <c r="D299" s="36">
        <v>702</v>
      </c>
      <c r="E299" s="37" t="s">
        <v>200</v>
      </c>
      <c r="F299" s="38"/>
      <c r="G299" s="99">
        <f>SUM(G300)</f>
        <v>3718</v>
      </c>
      <c r="H299" s="110">
        <f>H300</f>
        <v>4309</v>
      </c>
      <c r="I299" s="99">
        <f>SUM(I300)</f>
        <v>3520</v>
      </c>
      <c r="J299" s="113"/>
      <c r="K299" s="114"/>
      <c r="L299" s="110">
        <f>L300</f>
        <v>81.68948711998144</v>
      </c>
    </row>
    <row r="300" spans="1:12" ht="29.25" customHeight="1">
      <c r="A300" s="28">
        <v>289</v>
      </c>
      <c r="B300" s="34" t="s">
        <v>245</v>
      </c>
      <c r="C300" s="30">
        <v>901</v>
      </c>
      <c r="D300" s="39">
        <v>702</v>
      </c>
      <c r="E300" s="38" t="s">
        <v>200</v>
      </c>
      <c r="F300" s="38" t="s">
        <v>67</v>
      </c>
      <c r="G300" s="115">
        <v>3718</v>
      </c>
      <c r="H300" s="100">
        <f>3718+591</f>
        <v>4309</v>
      </c>
      <c r="I300" s="115">
        <v>3520</v>
      </c>
      <c r="J300" s="113"/>
      <c r="K300" s="114"/>
      <c r="L300" s="100">
        <f>I300/H300*100</f>
        <v>81.68948711998144</v>
      </c>
    </row>
    <row r="301" spans="1:12" ht="29.25" customHeight="1">
      <c r="A301" s="28">
        <v>290</v>
      </c>
      <c r="B301" s="19" t="s">
        <v>371</v>
      </c>
      <c r="C301" s="28">
        <v>901</v>
      </c>
      <c r="D301" s="36">
        <v>702</v>
      </c>
      <c r="E301" s="37" t="s">
        <v>372</v>
      </c>
      <c r="F301" s="37"/>
      <c r="G301" s="99">
        <f>SUM(G302)</f>
        <v>0</v>
      </c>
      <c r="H301" s="110">
        <f>SUM(H302)</f>
        <v>180.466</v>
      </c>
      <c r="I301" s="99">
        <f>SUM(I302)</f>
        <v>180.5</v>
      </c>
      <c r="J301" s="111"/>
      <c r="K301" s="112"/>
      <c r="L301" s="110">
        <f>SUM(L302)</f>
        <v>100.01884011392728</v>
      </c>
    </row>
    <row r="302" spans="1:12" ht="29.25" customHeight="1">
      <c r="A302" s="28">
        <v>291</v>
      </c>
      <c r="B302" s="34" t="s">
        <v>73</v>
      </c>
      <c r="C302" s="30">
        <v>901</v>
      </c>
      <c r="D302" s="39">
        <v>702</v>
      </c>
      <c r="E302" s="38" t="s">
        <v>372</v>
      </c>
      <c r="F302" s="38" t="s">
        <v>37</v>
      </c>
      <c r="G302" s="115">
        <v>0</v>
      </c>
      <c r="H302" s="100">
        <v>180.466</v>
      </c>
      <c r="I302" s="115">
        <v>180.5</v>
      </c>
      <c r="J302" s="113"/>
      <c r="K302" s="114"/>
      <c r="L302" s="100">
        <f>I302/H302*100</f>
        <v>100.01884011392728</v>
      </c>
    </row>
    <row r="303" spans="1:12" ht="69" customHeight="1">
      <c r="A303" s="28">
        <v>292</v>
      </c>
      <c r="B303" s="19" t="s">
        <v>266</v>
      </c>
      <c r="C303" s="28">
        <v>901</v>
      </c>
      <c r="D303" s="36">
        <v>702</v>
      </c>
      <c r="E303" s="37" t="s">
        <v>268</v>
      </c>
      <c r="F303" s="38"/>
      <c r="G303" s="99">
        <v>0</v>
      </c>
      <c r="H303" s="110">
        <f>SUM(H304)</f>
        <v>0</v>
      </c>
      <c r="I303" s="99">
        <v>0</v>
      </c>
      <c r="J303" s="113"/>
      <c r="K303" s="114"/>
      <c r="L303" s="110">
        <f>SUM(L304)</f>
        <v>0</v>
      </c>
    </row>
    <row r="304" spans="1:12" ht="52.5" customHeight="1">
      <c r="A304" s="28">
        <v>293</v>
      </c>
      <c r="B304" s="19" t="s">
        <v>267</v>
      </c>
      <c r="C304" s="28">
        <v>901</v>
      </c>
      <c r="D304" s="36">
        <v>702</v>
      </c>
      <c r="E304" s="37" t="s">
        <v>269</v>
      </c>
      <c r="F304" s="38"/>
      <c r="G304" s="99">
        <v>0</v>
      </c>
      <c r="H304" s="110">
        <f>SUM(H305)</f>
        <v>0</v>
      </c>
      <c r="I304" s="99">
        <v>0</v>
      </c>
      <c r="J304" s="113"/>
      <c r="K304" s="114"/>
      <c r="L304" s="110">
        <f>SUM(L305)</f>
        <v>0</v>
      </c>
    </row>
    <row r="305" spans="1:12" ht="29.25" customHeight="1">
      <c r="A305" s="28">
        <v>294</v>
      </c>
      <c r="B305" s="34" t="s">
        <v>245</v>
      </c>
      <c r="C305" s="30">
        <v>901</v>
      </c>
      <c r="D305" s="39">
        <v>702</v>
      </c>
      <c r="E305" s="38" t="s">
        <v>269</v>
      </c>
      <c r="F305" s="38" t="s">
        <v>67</v>
      </c>
      <c r="G305" s="99">
        <v>0</v>
      </c>
      <c r="H305" s="110">
        <v>0</v>
      </c>
      <c r="I305" s="99">
        <v>0</v>
      </c>
      <c r="J305" s="113"/>
      <c r="K305" s="114"/>
      <c r="L305" s="100">
        <v>0</v>
      </c>
    </row>
    <row r="306" spans="1:12" ht="29.25" customHeight="1">
      <c r="A306" s="28">
        <v>295</v>
      </c>
      <c r="B306" s="19" t="s">
        <v>270</v>
      </c>
      <c r="C306" s="28">
        <v>901</v>
      </c>
      <c r="D306" s="36">
        <v>703</v>
      </c>
      <c r="E306" s="37"/>
      <c r="F306" s="37"/>
      <c r="G306" s="99">
        <f>SUM(G307)</f>
        <v>7620</v>
      </c>
      <c r="H306" s="110">
        <f>SUM(H307)</f>
        <v>7786.858</v>
      </c>
      <c r="I306" s="99">
        <f>SUM(I307)</f>
        <v>7770.574</v>
      </c>
      <c r="J306" s="111"/>
      <c r="K306" s="112"/>
      <c r="L306" s="110">
        <f>SUM(L307)</f>
        <v>99.79087842618935</v>
      </c>
    </row>
    <row r="307" spans="1:12" ht="29.25" customHeight="1">
      <c r="A307" s="28">
        <v>296</v>
      </c>
      <c r="B307" s="19" t="s">
        <v>394</v>
      </c>
      <c r="C307" s="28">
        <v>901</v>
      </c>
      <c r="D307" s="36">
        <v>703</v>
      </c>
      <c r="E307" s="37" t="s">
        <v>191</v>
      </c>
      <c r="F307" s="38"/>
      <c r="G307" s="99">
        <f>SUM(G308+G313)</f>
        <v>7620</v>
      </c>
      <c r="H307" s="110">
        <f>SUM(H308+H313)</f>
        <v>7786.858</v>
      </c>
      <c r="I307" s="99">
        <f>SUM(I308+I313)</f>
        <v>7770.574</v>
      </c>
      <c r="J307" s="113"/>
      <c r="K307" s="114"/>
      <c r="L307" s="110">
        <f>I307/H307*100</f>
        <v>99.79087842618935</v>
      </c>
    </row>
    <row r="308" spans="1:12" ht="29.25" customHeight="1">
      <c r="A308" s="28">
        <v>297</v>
      </c>
      <c r="B308" s="19" t="s">
        <v>98</v>
      </c>
      <c r="C308" s="28">
        <v>901</v>
      </c>
      <c r="D308" s="36">
        <v>703</v>
      </c>
      <c r="E308" s="37" t="s">
        <v>197</v>
      </c>
      <c r="F308" s="38"/>
      <c r="G308" s="99">
        <f>SUM(G309)</f>
        <v>7620</v>
      </c>
      <c r="H308" s="110">
        <f>H309</f>
        <v>7677</v>
      </c>
      <c r="I308" s="99">
        <f>SUM(I309)</f>
        <v>7660.674</v>
      </c>
      <c r="J308" s="113"/>
      <c r="K308" s="114"/>
      <c r="L308" s="110">
        <f>L309</f>
        <v>99.7873388042204</v>
      </c>
    </row>
    <row r="309" spans="1:12" ht="29.25" customHeight="1">
      <c r="A309" s="28">
        <v>298</v>
      </c>
      <c r="B309" s="19" t="s">
        <v>99</v>
      </c>
      <c r="C309" s="28">
        <v>901</v>
      </c>
      <c r="D309" s="36">
        <v>703</v>
      </c>
      <c r="E309" s="37" t="s">
        <v>198</v>
      </c>
      <c r="F309" s="38"/>
      <c r="G309" s="99">
        <f>SUM(G310:G312)</f>
        <v>7620</v>
      </c>
      <c r="H309" s="110">
        <f>SUM(H310:H312)</f>
        <v>7677</v>
      </c>
      <c r="I309" s="99">
        <f>SUM(I310:I312)</f>
        <v>7660.674</v>
      </c>
      <c r="J309" s="113"/>
      <c r="K309" s="114"/>
      <c r="L309" s="110">
        <f>I309/H309*100</f>
        <v>99.7873388042204</v>
      </c>
    </row>
    <row r="310" spans="1:12" ht="29.25" customHeight="1">
      <c r="A310" s="28">
        <v>299</v>
      </c>
      <c r="B310" s="34" t="s">
        <v>73</v>
      </c>
      <c r="C310" s="30">
        <v>901</v>
      </c>
      <c r="D310" s="39">
        <v>703</v>
      </c>
      <c r="E310" s="38" t="s">
        <v>198</v>
      </c>
      <c r="F310" s="38" t="s">
        <v>37</v>
      </c>
      <c r="G310" s="115">
        <v>6231</v>
      </c>
      <c r="H310" s="100">
        <f>6231-18.988</f>
        <v>6212.012</v>
      </c>
      <c r="I310" s="115">
        <v>6212</v>
      </c>
      <c r="J310" s="113"/>
      <c r="K310" s="114"/>
      <c r="L310" s="100">
        <f>I310/H310*100</f>
        <v>99.99980682587221</v>
      </c>
    </row>
    <row r="311" spans="1:12" ht="29.25" customHeight="1">
      <c r="A311" s="28">
        <v>300</v>
      </c>
      <c r="B311" s="34" t="s">
        <v>245</v>
      </c>
      <c r="C311" s="30">
        <v>901</v>
      </c>
      <c r="D311" s="39">
        <v>703</v>
      </c>
      <c r="E311" s="38" t="s">
        <v>198</v>
      </c>
      <c r="F311" s="38" t="s">
        <v>67</v>
      </c>
      <c r="G311" s="115">
        <v>1369</v>
      </c>
      <c r="H311" s="100">
        <f>1369+57-2.766+23.48</f>
        <v>1446.714</v>
      </c>
      <c r="I311" s="115">
        <v>1430.4</v>
      </c>
      <c r="J311" s="113"/>
      <c r="K311" s="114"/>
      <c r="L311" s="100">
        <f>I311/H311*100</f>
        <v>98.87234104321934</v>
      </c>
    </row>
    <row r="312" spans="1:12" ht="29.25" customHeight="1">
      <c r="A312" s="28">
        <v>301</v>
      </c>
      <c r="B312" s="34" t="s">
        <v>237</v>
      </c>
      <c r="C312" s="30">
        <v>901</v>
      </c>
      <c r="D312" s="39">
        <v>703</v>
      </c>
      <c r="E312" s="38" t="s">
        <v>198</v>
      </c>
      <c r="F312" s="38" t="s">
        <v>238</v>
      </c>
      <c r="G312" s="115">
        <v>20</v>
      </c>
      <c r="H312" s="100">
        <f>20-2.526+0.8</f>
        <v>18.274</v>
      </c>
      <c r="I312" s="115">
        <v>18.274</v>
      </c>
      <c r="J312" s="113"/>
      <c r="K312" s="114"/>
      <c r="L312" s="100">
        <f>I312/H312*100</f>
        <v>100</v>
      </c>
    </row>
    <row r="313" spans="1:12" ht="29.25" customHeight="1">
      <c r="A313" s="28">
        <v>300</v>
      </c>
      <c r="B313" s="19" t="s">
        <v>371</v>
      </c>
      <c r="C313" s="28">
        <v>901</v>
      </c>
      <c r="D313" s="36">
        <v>703</v>
      </c>
      <c r="E313" s="37" t="s">
        <v>372</v>
      </c>
      <c r="F313" s="37"/>
      <c r="G313" s="99">
        <v>0</v>
      </c>
      <c r="H313" s="110">
        <f>SUM(H314)</f>
        <v>109.858</v>
      </c>
      <c r="I313" s="99">
        <f>SUM(I314)</f>
        <v>109.9</v>
      </c>
      <c r="J313" s="111"/>
      <c r="K313" s="112"/>
      <c r="L313" s="110">
        <f>SUM(L314)</f>
        <v>100.03823117114821</v>
      </c>
    </row>
    <row r="314" spans="1:12" ht="29.25" customHeight="1">
      <c r="A314" s="28">
        <v>301</v>
      </c>
      <c r="B314" s="34" t="s">
        <v>73</v>
      </c>
      <c r="C314" s="30">
        <v>901</v>
      </c>
      <c r="D314" s="39">
        <v>703</v>
      </c>
      <c r="E314" s="38" t="s">
        <v>372</v>
      </c>
      <c r="F314" s="38" t="s">
        <v>37</v>
      </c>
      <c r="G314" s="115">
        <v>0</v>
      </c>
      <c r="H314" s="100">
        <v>109.858</v>
      </c>
      <c r="I314" s="115">
        <v>109.9</v>
      </c>
      <c r="J314" s="113"/>
      <c r="K314" s="114"/>
      <c r="L314" s="100">
        <f>I314/H314*100</f>
        <v>100.03823117114821</v>
      </c>
    </row>
    <row r="315" spans="1:12" ht="19.5" customHeight="1">
      <c r="A315" s="28">
        <v>302</v>
      </c>
      <c r="B315" s="19" t="s">
        <v>343</v>
      </c>
      <c r="C315" s="28">
        <v>901</v>
      </c>
      <c r="D315" s="36">
        <v>707</v>
      </c>
      <c r="E315" s="37"/>
      <c r="F315" s="38"/>
      <c r="G315" s="99">
        <f>SUM(G316+G323)</f>
        <v>3100.5150000000003</v>
      </c>
      <c r="H315" s="110">
        <f>SUM(H316+H323)</f>
        <v>3585.2709999999997</v>
      </c>
      <c r="I315" s="99">
        <f>SUM(I316+I323)</f>
        <v>3585.3</v>
      </c>
      <c r="J315" s="113"/>
      <c r="K315" s="114"/>
      <c r="L315" s="110">
        <f>I315/H315*100</f>
        <v>100.00080886493659</v>
      </c>
    </row>
    <row r="316" spans="1:12" ht="30.75" customHeight="1">
      <c r="A316" s="28">
        <v>303</v>
      </c>
      <c r="B316" s="19" t="s">
        <v>394</v>
      </c>
      <c r="C316" s="28">
        <v>901</v>
      </c>
      <c r="D316" s="36">
        <v>707</v>
      </c>
      <c r="E316" s="37" t="s">
        <v>191</v>
      </c>
      <c r="F316" s="38"/>
      <c r="G316" s="99">
        <f>SUM(G317)</f>
        <v>2837.5150000000003</v>
      </c>
      <c r="H316" s="110">
        <f>SUM(H317)</f>
        <v>3143.7709999999997</v>
      </c>
      <c r="I316" s="99">
        <f>SUM(I317)</f>
        <v>3143.8</v>
      </c>
      <c r="J316" s="113"/>
      <c r="K316" s="114"/>
      <c r="L316" s="110">
        <f>SUM(L317)</f>
        <v>100.00092245904682</v>
      </c>
    </row>
    <row r="317" spans="1:12" ht="36.75" customHeight="1">
      <c r="A317" s="44">
        <v>304</v>
      </c>
      <c r="B317" s="59" t="s">
        <v>331</v>
      </c>
      <c r="C317" s="28">
        <v>901</v>
      </c>
      <c r="D317" s="36">
        <v>707</v>
      </c>
      <c r="E317" s="37" t="s">
        <v>454</v>
      </c>
      <c r="F317" s="38"/>
      <c r="G317" s="99">
        <f>SUM(G318+G321)</f>
        <v>2837.5150000000003</v>
      </c>
      <c r="H317" s="110">
        <f>SUM(H318+H321)</f>
        <v>3143.7709999999997</v>
      </c>
      <c r="I317" s="99">
        <f>SUM(I318+I321)</f>
        <v>3143.8</v>
      </c>
      <c r="J317" s="113"/>
      <c r="K317" s="114"/>
      <c r="L317" s="110">
        <f>I317/H317*100</f>
        <v>100.00092245904682</v>
      </c>
    </row>
    <row r="318" spans="1:12" ht="30.75" customHeight="1">
      <c r="A318" s="44">
        <v>305</v>
      </c>
      <c r="B318" s="19" t="s">
        <v>103</v>
      </c>
      <c r="C318" s="28">
        <v>901</v>
      </c>
      <c r="D318" s="36">
        <v>707</v>
      </c>
      <c r="E318" s="37" t="s">
        <v>201</v>
      </c>
      <c r="F318" s="38"/>
      <c r="G318" s="99">
        <f>SUM(G319:G320)</f>
        <v>1181.815</v>
      </c>
      <c r="H318" s="118">
        <f>SUM(H319:H320)</f>
        <v>1488.071</v>
      </c>
      <c r="I318" s="99">
        <f>SUM(I319:I320)</f>
        <v>1488.1</v>
      </c>
      <c r="J318" s="113"/>
      <c r="K318" s="114"/>
      <c r="L318" s="118">
        <f>I318/H318*100</f>
        <v>100.00194883174258</v>
      </c>
    </row>
    <row r="319" spans="1:12" ht="17.25" customHeight="1">
      <c r="A319" s="28">
        <v>306</v>
      </c>
      <c r="B319" s="34" t="s">
        <v>38</v>
      </c>
      <c r="C319" s="30">
        <v>901</v>
      </c>
      <c r="D319" s="39">
        <v>707</v>
      </c>
      <c r="E319" s="38" t="s">
        <v>201</v>
      </c>
      <c r="F319" s="38" t="s">
        <v>37</v>
      </c>
      <c r="G319" s="115">
        <v>120.759</v>
      </c>
      <c r="H319" s="100">
        <f>120.759-6.171+32.474</f>
        <v>147.06199999999998</v>
      </c>
      <c r="I319" s="115">
        <v>147.1</v>
      </c>
      <c r="J319" s="113"/>
      <c r="K319" s="114"/>
      <c r="L319" s="100">
        <f>I319/H319*100</f>
        <v>100.02583944186807</v>
      </c>
    </row>
    <row r="320" spans="1:12" ht="30" customHeight="1">
      <c r="A320" s="28">
        <v>307</v>
      </c>
      <c r="B320" s="34" t="s">
        <v>245</v>
      </c>
      <c r="C320" s="30">
        <v>901</v>
      </c>
      <c r="D320" s="39">
        <v>707</v>
      </c>
      <c r="E320" s="38" t="s">
        <v>201</v>
      </c>
      <c r="F320" s="38" t="s">
        <v>67</v>
      </c>
      <c r="G320" s="115">
        <v>1061.056</v>
      </c>
      <c r="H320" s="100">
        <f>1061.058+480.245+6.171-32.474-69.639-100-4.22-0.132</f>
        <v>1341.009</v>
      </c>
      <c r="I320" s="115">
        <v>1341</v>
      </c>
      <c r="J320" s="113"/>
      <c r="K320" s="114"/>
      <c r="L320" s="100">
        <f>I320/H320*100</f>
        <v>99.99932886356467</v>
      </c>
    </row>
    <row r="321" spans="1:12" ht="22.5" customHeight="1">
      <c r="A321" s="28">
        <v>308</v>
      </c>
      <c r="B321" s="19" t="s">
        <v>104</v>
      </c>
      <c r="C321" s="28">
        <v>901</v>
      </c>
      <c r="D321" s="36">
        <v>707</v>
      </c>
      <c r="E321" s="37" t="s">
        <v>202</v>
      </c>
      <c r="F321" s="38"/>
      <c r="G321" s="99">
        <f>SUM(G322)</f>
        <v>1655.7</v>
      </c>
      <c r="H321" s="124">
        <f>H322</f>
        <v>1655.7</v>
      </c>
      <c r="I321" s="99">
        <f>SUM(I322)</f>
        <v>1655.7</v>
      </c>
      <c r="J321" s="113"/>
      <c r="K321" s="114"/>
      <c r="L321" s="124">
        <f>L322</f>
        <v>100</v>
      </c>
    </row>
    <row r="322" spans="1:12" ht="36.75" customHeight="1">
      <c r="A322" s="28">
        <v>309</v>
      </c>
      <c r="B322" s="34" t="s">
        <v>245</v>
      </c>
      <c r="C322" s="30">
        <v>901</v>
      </c>
      <c r="D322" s="39">
        <v>707</v>
      </c>
      <c r="E322" s="38" t="s">
        <v>202</v>
      </c>
      <c r="F322" s="38" t="s">
        <v>67</v>
      </c>
      <c r="G322" s="115">
        <v>1655.7</v>
      </c>
      <c r="H322" s="121">
        <v>1655.7</v>
      </c>
      <c r="I322" s="115">
        <v>1655.7</v>
      </c>
      <c r="J322" s="113"/>
      <c r="K322" s="114"/>
      <c r="L322" s="121">
        <f>I322/H322*100</f>
        <v>100</v>
      </c>
    </row>
    <row r="323" spans="1:12" ht="39.75" customHeight="1">
      <c r="A323" s="28">
        <v>310</v>
      </c>
      <c r="B323" s="19" t="s">
        <v>423</v>
      </c>
      <c r="C323" s="28">
        <v>901</v>
      </c>
      <c r="D323" s="36">
        <v>707</v>
      </c>
      <c r="E323" s="37" t="s">
        <v>159</v>
      </c>
      <c r="F323" s="38"/>
      <c r="G323" s="99">
        <f>SUM(G324)</f>
        <v>263</v>
      </c>
      <c r="H323" s="124">
        <f>SUM(H324)</f>
        <v>441.50000000000006</v>
      </c>
      <c r="I323" s="99">
        <f>SUM(I324)</f>
        <v>441.50000000000006</v>
      </c>
      <c r="J323" s="113"/>
      <c r="K323" s="114"/>
      <c r="L323" s="124">
        <f>SUM(L324)</f>
        <v>100</v>
      </c>
    </row>
    <row r="324" spans="1:12" ht="83.25" customHeight="1">
      <c r="A324" s="28">
        <v>311</v>
      </c>
      <c r="B324" s="19" t="s">
        <v>341</v>
      </c>
      <c r="C324" s="28">
        <v>901</v>
      </c>
      <c r="D324" s="36">
        <v>707</v>
      </c>
      <c r="E324" s="37" t="s">
        <v>159</v>
      </c>
      <c r="F324" s="38"/>
      <c r="G324" s="99">
        <f>SUM(G325+G327+G329+G331+G333+G335)</f>
        <v>263</v>
      </c>
      <c r="H324" s="124">
        <f>SUM(H325+H327+H329+H331+H333+H335)</f>
        <v>441.50000000000006</v>
      </c>
      <c r="I324" s="99">
        <f>SUM(I325+I327+I329+I331+I333+I335)</f>
        <v>441.50000000000006</v>
      </c>
      <c r="J324" s="113"/>
      <c r="K324" s="114"/>
      <c r="L324" s="124">
        <f>I324/H324*100</f>
        <v>100</v>
      </c>
    </row>
    <row r="325" spans="1:12" ht="42" customHeight="1">
      <c r="A325" s="28">
        <v>312</v>
      </c>
      <c r="B325" s="19" t="s">
        <v>105</v>
      </c>
      <c r="C325" s="28">
        <v>901</v>
      </c>
      <c r="D325" s="36">
        <v>707</v>
      </c>
      <c r="E325" s="37" t="s">
        <v>203</v>
      </c>
      <c r="F325" s="38"/>
      <c r="G325" s="99">
        <f>SUM(G326)</f>
        <v>148</v>
      </c>
      <c r="H325" s="124">
        <f>SUM(H326)</f>
        <v>20</v>
      </c>
      <c r="I325" s="99">
        <f>SUM(I326)</f>
        <v>20</v>
      </c>
      <c r="J325" s="113"/>
      <c r="K325" s="114"/>
      <c r="L325" s="124">
        <f>SUM(L326)</f>
        <v>100</v>
      </c>
    </row>
    <row r="326" spans="1:12" ht="27.75" customHeight="1">
      <c r="A326" s="28">
        <v>313</v>
      </c>
      <c r="B326" s="34" t="s">
        <v>245</v>
      </c>
      <c r="C326" s="30">
        <v>901</v>
      </c>
      <c r="D326" s="39">
        <v>707</v>
      </c>
      <c r="E326" s="38" t="s">
        <v>203</v>
      </c>
      <c r="F326" s="38" t="s">
        <v>67</v>
      </c>
      <c r="G326" s="115">
        <v>148</v>
      </c>
      <c r="H326" s="121">
        <f>148-128</f>
        <v>20</v>
      </c>
      <c r="I326" s="115">
        <v>20</v>
      </c>
      <c r="J326" s="113"/>
      <c r="K326" s="114"/>
      <c r="L326" s="121">
        <f>I326/H326*100</f>
        <v>100</v>
      </c>
    </row>
    <row r="327" spans="1:12" ht="45.75" customHeight="1">
      <c r="A327" s="28">
        <v>314</v>
      </c>
      <c r="B327" s="59" t="s">
        <v>353</v>
      </c>
      <c r="C327" s="28">
        <v>901</v>
      </c>
      <c r="D327" s="36">
        <v>707</v>
      </c>
      <c r="E327" s="37" t="s">
        <v>355</v>
      </c>
      <c r="F327" s="37"/>
      <c r="G327" s="99">
        <v>0</v>
      </c>
      <c r="H327" s="124">
        <f>SUM(H328)</f>
        <v>115</v>
      </c>
      <c r="I327" s="99">
        <f>SUM(I328)</f>
        <v>115</v>
      </c>
      <c r="J327" s="111"/>
      <c r="K327" s="112"/>
      <c r="L327" s="124">
        <f>SUM(L328)</f>
        <v>100</v>
      </c>
    </row>
    <row r="328" spans="1:12" ht="27.75" customHeight="1">
      <c r="A328" s="44">
        <v>315</v>
      </c>
      <c r="B328" s="34" t="s">
        <v>245</v>
      </c>
      <c r="C328" s="30">
        <v>901</v>
      </c>
      <c r="D328" s="39">
        <v>707</v>
      </c>
      <c r="E328" s="38" t="s">
        <v>355</v>
      </c>
      <c r="F328" s="38" t="s">
        <v>67</v>
      </c>
      <c r="G328" s="115">
        <v>0</v>
      </c>
      <c r="H328" s="121">
        <v>115</v>
      </c>
      <c r="I328" s="115">
        <v>115</v>
      </c>
      <c r="J328" s="113"/>
      <c r="K328" s="114"/>
      <c r="L328" s="121">
        <f>I328/H328*100</f>
        <v>100</v>
      </c>
    </row>
    <row r="329" spans="1:12" ht="43.5" customHeight="1">
      <c r="A329" s="44">
        <v>316</v>
      </c>
      <c r="B329" s="63" t="s">
        <v>395</v>
      </c>
      <c r="C329" s="44">
        <v>901</v>
      </c>
      <c r="D329" s="46">
        <v>707</v>
      </c>
      <c r="E329" s="47" t="s">
        <v>396</v>
      </c>
      <c r="F329" s="47"/>
      <c r="G329" s="117">
        <v>0</v>
      </c>
      <c r="H329" s="118">
        <f>SUM(H330)</f>
        <v>124.6</v>
      </c>
      <c r="I329" s="117">
        <f>SUM(I330)</f>
        <v>124.6</v>
      </c>
      <c r="J329" s="119"/>
      <c r="K329" s="119"/>
      <c r="L329" s="118">
        <f>SUM(L330)</f>
        <v>100</v>
      </c>
    </row>
    <row r="330" spans="1:12" ht="33.75" customHeight="1">
      <c r="A330" s="28">
        <v>317</v>
      </c>
      <c r="B330" s="48" t="s">
        <v>245</v>
      </c>
      <c r="C330" s="49">
        <v>901</v>
      </c>
      <c r="D330" s="50">
        <v>707</v>
      </c>
      <c r="E330" s="42" t="s">
        <v>396</v>
      </c>
      <c r="F330" s="42" t="s">
        <v>67</v>
      </c>
      <c r="G330" s="116">
        <v>0</v>
      </c>
      <c r="H330" s="100">
        <v>124.6</v>
      </c>
      <c r="I330" s="116">
        <v>124.6</v>
      </c>
      <c r="J330" s="120"/>
      <c r="K330" s="120"/>
      <c r="L330" s="100">
        <f>I330/H330*100</f>
        <v>100</v>
      </c>
    </row>
    <row r="331" spans="1:12" ht="63.75" customHeight="1">
      <c r="A331" s="44">
        <v>318</v>
      </c>
      <c r="B331" s="59" t="s">
        <v>354</v>
      </c>
      <c r="C331" s="28">
        <v>901</v>
      </c>
      <c r="D331" s="36">
        <v>707</v>
      </c>
      <c r="E331" s="37" t="s">
        <v>356</v>
      </c>
      <c r="F331" s="37"/>
      <c r="G331" s="99">
        <v>0</v>
      </c>
      <c r="H331" s="124">
        <f>SUM(H332)</f>
        <v>127.6</v>
      </c>
      <c r="I331" s="99">
        <f>SUM(I332)</f>
        <v>127.6</v>
      </c>
      <c r="J331" s="111"/>
      <c r="K331" s="112"/>
      <c r="L331" s="124">
        <f>SUM(L332)</f>
        <v>100</v>
      </c>
    </row>
    <row r="332" spans="1:12" ht="27.75" customHeight="1">
      <c r="A332" s="44">
        <v>319</v>
      </c>
      <c r="B332" s="34" t="s">
        <v>245</v>
      </c>
      <c r="C332" s="30">
        <v>901</v>
      </c>
      <c r="D332" s="39">
        <v>707</v>
      </c>
      <c r="E332" s="38" t="s">
        <v>356</v>
      </c>
      <c r="F332" s="38" t="s">
        <v>67</v>
      </c>
      <c r="G332" s="115">
        <v>0</v>
      </c>
      <c r="H332" s="121">
        <f>128-0.4</f>
        <v>127.6</v>
      </c>
      <c r="I332" s="115">
        <v>127.6</v>
      </c>
      <c r="J332" s="113"/>
      <c r="K332" s="114"/>
      <c r="L332" s="121">
        <f>I332/H332*100</f>
        <v>100</v>
      </c>
    </row>
    <row r="333" spans="1:12" ht="27.75" customHeight="1">
      <c r="A333" s="28">
        <v>320</v>
      </c>
      <c r="B333" s="60" t="s">
        <v>402</v>
      </c>
      <c r="C333" s="44">
        <v>901</v>
      </c>
      <c r="D333" s="46">
        <v>707</v>
      </c>
      <c r="E333" s="47" t="s">
        <v>403</v>
      </c>
      <c r="F333" s="47"/>
      <c r="G333" s="117">
        <v>0</v>
      </c>
      <c r="H333" s="118">
        <f>SUM(H334)</f>
        <v>54.3</v>
      </c>
      <c r="I333" s="117">
        <f>SUM(I334)</f>
        <v>54.3</v>
      </c>
      <c r="J333" s="119"/>
      <c r="K333" s="119"/>
      <c r="L333" s="118">
        <f>SUM(L334)</f>
        <v>100</v>
      </c>
    </row>
    <row r="334" spans="1:12" ht="27.75" customHeight="1">
      <c r="A334" s="28">
        <v>321</v>
      </c>
      <c r="B334" s="48" t="s">
        <v>245</v>
      </c>
      <c r="C334" s="49">
        <v>901</v>
      </c>
      <c r="D334" s="50">
        <v>707</v>
      </c>
      <c r="E334" s="42" t="s">
        <v>403</v>
      </c>
      <c r="F334" s="42" t="s">
        <v>404</v>
      </c>
      <c r="G334" s="116">
        <v>0</v>
      </c>
      <c r="H334" s="100">
        <v>54.3</v>
      </c>
      <c r="I334" s="116">
        <v>54.3</v>
      </c>
      <c r="J334" s="120"/>
      <c r="K334" s="120"/>
      <c r="L334" s="100">
        <f>I334/H334*100</f>
        <v>100</v>
      </c>
    </row>
    <row r="335" spans="1:12" ht="33" customHeight="1">
      <c r="A335" s="28">
        <v>322</v>
      </c>
      <c r="B335" s="81" t="s">
        <v>329</v>
      </c>
      <c r="C335" s="28">
        <v>901</v>
      </c>
      <c r="D335" s="36">
        <v>707</v>
      </c>
      <c r="E335" s="37" t="s">
        <v>330</v>
      </c>
      <c r="F335" s="37"/>
      <c r="G335" s="99">
        <f>SUM(G336)</f>
        <v>115</v>
      </c>
      <c r="H335" s="124">
        <f>SUM(H336)</f>
        <v>0</v>
      </c>
      <c r="I335" s="99">
        <v>0</v>
      </c>
      <c r="J335" s="111"/>
      <c r="K335" s="112"/>
      <c r="L335" s="124">
        <f>SUM(L336)</f>
        <v>0</v>
      </c>
    </row>
    <row r="336" spans="1:12" ht="27.75" customHeight="1">
      <c r="A336" s="28">
        <v>323</v>
      </c>
      <c r="B336" s="34" t="s">
        <v>245</v>
      </c>
      <c r="C336" s="30">
        <v>901</v>
      </c>
      <c r="D336" s="39">
        <v>707</v>
      </c>
      <c r="E336" s="38" t="s">
        <v>330</v>
      </c>
      <c r="F336" s="38" t="s">
        <v>67</v>
      </c>
      <c r="G336" s="115">
        <v>115</v>
      </c>
      <c r="H336" s="121">
        <v>0</v>
      </c>
      <c r="I336" s="115">
        <v>0</v>
      </c>
      <c r="J336" s="113"/>
      <c r="K336" s="114"/>
      <c r="L336" s="121">
        <v>0</v>
      </c>
    </row>
    <row r="337" spans="1:12" ht="18.75" customHeight="1">
      <c r="A337" s="28">
        <v>324</v>
      </c>
      <c r="B337" s="19" t="s">
        <v>34</v>
      </c>
      <c r="C337" s="28">
        <v>901</v>
      </c>
      <c r="D337" s="36">
        <v>800</v>
      </c>
      <c r="E337" s="37"/>
      <c r="F337" s="38"/>
      <c r="G337" s="99">
        <f>SUM(G338)</f>
        <v>26258</v>
      </c>
      <c r="H337" s="118">
        <f>H338</f>
        <v>28217.97</v>
      </c>
      <c r="I337" s="99">
        <f>SUM(I338)</f>
        <v>27818.399999999998</v>
      </c>
      <c r="J337" s="113"/>
      <c r="K337" s="114"/>
      <c r="L337" s="118">
        <f>L338</f>
        <v>98.58398743779229</v>
      </c>
    </row>
    <row r="338" spans="1:12" ht="15.75" customHeight="1">
      <c r="A338" s="28">
        <v>325</v>
      </c>
      <c r="B338" s="19" t="s">
        <v>23</v>
      </c>
      <c r="C338" s="28">
        <v>901</v>
      </c>
      <c r="D338" s="36">
        <v>801</v>
      </c>
      <c r="E338" s="37"/>
      <c r="F338" s="38"/>
      <c r="G338" s="99">
        <f>SUM(G339)</f>
        <v>26258</v>
      </c>
      <c r="H338" s="118">
        <f>SUM(H339)</f>
        <v>28217.97</v>
      </c>
      <c r="I338" s="99">
        <f>SUM(I339)</f>
        <v>27818.399999999998</v>
      </c>
      <c r="J338" s="113"/>
      <c r="K338" s="114"/>
      <c r="L338" s="118">
        <f>SUM(L339)</f>
        <v>98.58398743779229</v>
      </c>
    </row>
    <row r="339" spans="1:12" ht="27" customHeight="1">
      <c r="A339" s="28">
        <v>326</v>
      </c>
      <c r="B339" s="19" t="s">
        <v>358</v>
      </c>
      <c r="C339" s="28">
        <v>901</v>
      </c>
      <c r="D339" s="36">
        <v>801</v>
      </c>
      <c r="E339" s="37" t="s">
        <v>204</v>
      </c>
      <c r="F339" s="38"/>
      <c r="G339" s="99">
        <f>SUM(G340+G345+G347+G349+G351+G354+G356+G360+G362+G364+G366)</f>
        <v>26258</v>
      </c>
      <c r="H339" s="118">
        <f>SUM(H340+H345+H347+H349+H351+H354+H356+H360+H362+H364+H366)</f>
        <v>28217.97</v>
      </c>
      <c r="I339" s="99">
        <f>SUM(I340+I345+I347+I349+I351+I354+I356+I360+I362+I364+I366)</f>
        <v>27818.399999999998</v>
      </c>
      <c r="J339" s="113"/>
      <c r="K339" s="114"/>
      <c r="L339" s="118">
        <f aca="true" t="shared" si="10" ref="L339:L344">I339/H339*100</f>
        <v>98.58398743779229</v>
      </c>
    </row>
    <row r="340" spans="1:12" ht="27">
      <c r="A340" s="28">
        <v>327</v>
      </c>
      <c r="B340" s="19" t="s">
        <v>106</v>
      </c>
      <c r="C340" s="28">
        <v>901</v>
      </c>
      <c r="D340" s="36">
        <v>801</v>
      </c>
      <c r="E340" s="37" t="s">
        <v>205</v>
      </c>
      <c r="F340" s="38"/>
      <c r="G340" s="99">
        <f>SUM(G341:G344)</f>
        <v>15527.5</v>
      </c>
      <c r="H340" s="118">
        <f>SUM(H341:H344)</f>
        <v>15497.482</v>
      </c>
      <c r="I340" s="99">
        <f>SUM(I341:I344)</f>
        <v>15244.1</v>
      </c>
      <c r="J340" s="113"/>
      <c r="K340" s="114"/>
      <c r="L340" s="118">
        <f t="shared" si="10"/>
        <v>98.36501181288678</v>
      </c>
    </row>
    <row r="341" spans="1:12" ht="19.5" customHeight="1">
      <c r="A341" s="28">
        <v>328</v>
      </c>
      <c r="B341" s="34" t="s">
        <v>38</v>
      </c>
      <c r="C341" s="30">
        <v>901</v>
      </c>
      <c r="D341" s="39">
        <v>801</v>
      </c>
      <c r="E341" s="38" t="s">
        <v>205</v>
      </c>
      <c r="F341" s="38" t="s">
        <v>37</v>
      </c>
      <c r="G341" s="115">
        <v>11602.1</v>
      </c>
      <c r="H341" s="100">
        <v>11602.082</v>
      </c>
      <c r="I341" s="115">
        <v>11602.1</v>
      </c>
      <c r="J341" s="113"/>
      <c r="K341" s="114"/>
      <c r="L341" s="100">
        <f t="shared" si="10"/>
        <v>100.00015514456801</v>
      </c>
    </row>
    <row r="342" spans="1:12" ht="29.25" customHeight="1">
      <c r="A342" s="28">
        <v>329</v>
      </c>
      <c r="B342" s="34" t="s">
        <v>245</v>
      </c>
      <c r="C342" s="30">
        <v>901</v>
      </c>
      <c r="D342" s="39">
        <v>801</v>
      </c>
      <c r="E342" s="38" t="s">
        <v>205</v>
      </c>
      <c r="F342" s="38" t="s">
        <v>67</v>
      </c>
      <c r="G342" s="115">
        <v>3775.4</v>
      </c>
      <c r="H342" s="100">
        <f>3925.4-150-251.508+31-30</f>
        <v>3524.8920000000003</v>
      </c>
      <c r="I342" s="115">
        <v>3288</v>
      </c>
      <c r="J342" s="113"/>
      <c r="K342" s="114"/>
      <c r="L342" s="100">
        <f t="shared" si="10"/>
        <v>93.27945366836771</v>
      </c>
    </row>
    <row r="343" spans="1:12" ht="29.25" customHeight="1">
      <c r="A343" s="28">
        <v>330</v>
      </c>
      <c r="B343" s="34" t="s">
        <v>350</v>
      </c>
      <c r="C343" s="30">
        <v>901</v>
      </c>
      <c r="D343" s="39">
        <v>801</v>
      </c>
      <c r="E343" s="38" t="s">
        <v>205</v>
      </c>
      <c r="F343" s="38" t="s">
        <v>352</v>
      </c>
      <c r="G343" s="115">
        <v>0</v>
      </c>
      <c r="H343" s="100">
        <v>321.508</v>
      </c>
      <c r="I343" s="115">
        <v>321.5</v>
      </c>
      <c r="J343" s="113"/>
      <c r="K343" s="114"/>
      <c r="L343" s="100">
        <f t="shared" si="10"/>
        <v>99.99751172599127</v>
      </c>
    </row>
    <row r="344" spans="1:12" ht="17.25" customHeight="1">
      <c r="A344" s="28">
        <v>331</v>
      </c>
      <c r="B344" s="34" t="s">
        <v>237</v>
      </c>
      <c r="C344" s="30">
        <v>901</v>
      </c>
      <c r="D344" s="39">
        <v>801</v>
      </c>
      <c r="E344" s="38" t="s">
        <v>205</v>
      </c>
      <c r="F344" s="38" t="s">
        <v>238</v>
      </c>
      <c r="G344" s="115">
        <v>150</v>
      </c>
      <c r="H344" s="100">
        <f>150-74.715+4.715-31</f>
        <v>49</v>
      </c>
      <c r="I344" s="115">
        <v>32.5</v>
      </c>
      <c r="J344" s="113"/>
      <c r="K344" s="114"/>
      <c r="L344" s="100">
        <f t="shared" si="10"/>
        <v>66.3265306122449</v>
      </c>
    </row>
    <row r="345" spans="1:12" ht="48.75" customHeight="1">
      <c r="A345" s="28">
        <v>332</v>
      </c>
      <c r="B345" s="60" t="s">
        <v>397</v>
      </c>
      <c r="C345" s="44">
        <v>901</v>
      </c>
      <c r="D345" s="46">
        <v>801</v>
      </c>
      <c r="E345" s="47" t="s">
        <v>398</v>
      </c>
      <c r="F345" s="47"/>
      <c r="G345" s="117">
        <v>0</v>
      </c>
      <c r="H345" s="118">
        <f>SUM(H346)</f>
        <v>0</v>
      </c>
      <c r="I345" s="117">
        <f>SUM(I346)</f>
        <v>0</v>
      </c>
      <c r="J345" s="119"/>
      <c r="K345" s="119"/>
      <c r="L345" s="118">
        <f>SUM(L346)</f>
        <v>0</v>
      </c>
    </row>
    <row r="346" spans="1:12" ht="29.25" customHeight="1">
      <c r="A346" s="28">
        <v>333</v>
      </c>
      <c r="B346" s="48" t="s">
        <v>245</v>
      </c>
      <c r="C346" s="49">
        <v>901</v>
      </c>
      <c r="D346" s="50">
        <v>801</v>
      </c>
      <c r="E346" s="42" t="s">
        <v>398</v>
      </c>
      <c r="F346" s="42" t="s">
        <v>67</v>
      </c>
      <c r="G346" s="116">
        <v>0</v>
      </c>
      <c r="H346" s="100">
        <f>175.2-63.7-111.5</f>
        <v>0</v>
      </c>
      <c r="I346" s="116">
        <v>0</v>
      </c>
      <c r="J346" s="120"/>
      <c r="K346" s="120"/>
      <c r="L346" s="100">
        <f>175.2-63.7-111.5</f>
        <v>0</v>
      </c>
    </row>
    <row r="347" spans="1:12" ht="39.75" customHeight="1">
      <c r="A347" s="28">
        <v>334</v>
      </c>
      <c r="B347" s="60" t="s">
        <v>397</v>
      </c>
      <c r="C347" s="44">
        <v>901</v>
      </c>
      <c r="D347" s="46">
        <v>801</v>
      </c>
      <c r="E347" s="47" t="s">
        <v>437</v>
      </c>
      <c r="F347" s="47"/>
      <c r="G347" s="117">
        <v>0</v>
      </c>
      <c r="H347" s="118">
        <f>SUM(H348)</f>
        <v>205.2</v>
      </c>
      <c r="I347" s="117">
        <f>SUM(I348)</f>
        <v>205.2</v>
      </c>
      <c r="J347" s="119"/>
      <c r="K347" s="119"/>
      <c r="L347" s="118">
        <f>SUM(L348)</f>
        <v>100</v>
      </c>
    </row>
    <row r="348" spans="1:12" ht="29.25" customHeight="1">
      <c r="A348" s="28">
        <v>335</v>
      </c>
      <c r="B348" s="48" t="s">
        <v>245</v>
      </c>
      <c r="C348" s="49">
        <v>901</v>
      </c>
      <c r="D348" s="50">
        <v>801</v>
      </c>
      <c r="E348" s="42" t="s">
        <v>437</v>
      </c>
      <c r="F348" s="42" t="s">
        <v>67</v>
      </c>
      <c r="G348" s="116">
        <v>0</v>
      </c>
      <c r="H348" s="100">
        <f>63.7+111.5+30</f>
        <v>205.2</v>
      </c>
      <c r="I348" s="116">
        <v>205.2</v>
      </c>
      <c r="J348" s="120"/>
      <c r="K348" s="120"/>
      <c r="L348" s="100">
        <f>I348/H348*100</f>
        <v>100</v>
      </c>
    </row>
    <row r="349" spans="1:12" ht="66.75" customHeight="1">
      <c r="A349" s="28">
        <v>336</v>
      </c>
      <c r="B349" s="60" t="s">
        <v>438</v>
      </c>
      <c r="C349" s="44">
        <v>901</v>
      </c>
      <c r="D349" s="46">
        <v>801</v>
      </c>
      <c r="E349" s="47" t="s">
        <v>447</v>
      </c>
      <c r="F349" s="47"/>
      <c r="G349" s="117">
        <f>SUM(G350)</f>
        <v>0</v>
      </c>
      <c r="H349" s="118">
        <f>SUM(H350)</f>
        <v>222.002</v>
      </c>
      <c r="I349" s="117">
        <f>SUM(I350)</f>
        <v>222</v>
      </c>
      <c r="J349" s="119"/>
      <c r="K349" s="119"/>
      <c r="L349" s="118">
        <f>SUM(L350)</f>
        <v>99.99909910721524</v>
      </c>
    </row>
    <row r="350" spans="1:12" ht="29.25" customHeight="1">
      <c r="A350" s="28">
        <v>337</v>
      </c>
      <c r="B350" s="48" t="s">
        <v>38</v>
      </c>
      <c r="C350" s="49">
        <v>901</v>
      </c>
      <c r="D350" s="50">
        <v>801</v>
      </c>
      <c r="E350" s="42" t="s">
        <v>447</v>
      </c>
      <c r="F350" s="42" t="s">
        <v>37</v>
      </c>
      <c r="G350" s="116">
        <v>0</v>
      </c>
      <c r="H350" s="100">
        <v>222.002</v>
      </c>
      <c r="I350" s="116">
        <v>222</v>
      </c>
      <c r="J350" s="120"/>
      <c r="K350" s="120"/>
      <c r="L350" s="100">
        <f>I350/H350*100</f>
        <v>99.99909910721524</v>
      </c>
    </row>
    <row r="351" spans="1:12" ht="41.25" customHeight="1">
      <c r="A351" s="44">
        <v>338</v>
      </c>
      <c r="B351" s="19" t="s">
        <v>107</v>
      </c>
      <c r="C351" s="28">
        <v>901</v>
      </c>
      <c r="D351" s="36">
        <v>801</v>
      </c>
      <c r="E351" s="37" t="s">
        <v>206</v>
      </c>
      <c r="F351" s="38"/>
      <c r="G351" s="99">
        <f>SUM(G352:G353)</f>
        <v>3834.3999999999996</v>
      </c>
      <c r="H351" s="118">
        <f>H352+H353</f>
        <v>3873.0570000000002</v>
      </c>
      <c r="I351" s="99">
        <f>SUM(I352:I353)</f>
        <v>3843.2000000000003</v>
      </c>
      <c r="J351" s="113"/>
      <c r="K351" s="114"/>
      <c r="L351" s="118">
        <f>I351/H351*100</f>
        <v>99.229110235145</v>
      </c>
    </row>
    <row r="352" spans="1:12" ht="17.25" customHeight="1">
      <c r="A352" s="44">
        <v>339</v>
      </c>
      <c r="B352" s="34" t="s">
        <v>38</v>
      </c>
      <c r="C352" s="30">
        <v>901</v>
      </c>
      <c r="D352" s="39">
        <v>801</v>
      </c>
      <c r="E352" s="38" t="s">
        <v>206</v>
      </c>
      <c r="F352" s="38" t="s">
        <v>37</v>
      </c>
      <c r="G352" s="115">
        <v>3270.6</v>
      </c>
      <c r="H352" s="100">
        <f>3270.6+36.338+2.369</f>
        <v>3309.3070000000002</v>
      </c>
      <c r="I352" s="115">
        <v>3309.3</v>
      </c>
      <c r="J352" s="113"/>
      <c r="K352" s="114"/>
      <c r="L352" s="100">
        <f>I352/H352*100</f>
        <v>99.99978847535148</v>
      </c>
    </row>
    <row r="353" spans="1:12" ht="29.25" customHeight="1">
      <c r="A353" s="28">
        <v>340</v>
      </c>
      <c r="B353" s="34" t="s">
        <v>245</v>
      </c>
      <c r="C353" s="30">
        <v>901</v>
      </c>
      <c r="D353" s="39">
        <v>801</v>
      </c>
      <c r="E353" s="38" t="s">
        <v>206</v>
      </c>
      <c r="F353" s="38" t="s">
        <v>67</v>
      </c>
      <c r="G353" s="115">
        <v>563.8</v>
      </c>
      <c r="H353" s="100">
        <v>563.75</v>
      </c>
      <c r="I353" s="115">
        <v>533.9</v>
      </c>
      <c r="J353" s="113"/>
      <c r="K353" s="114"/>
      <c r="L353" s="100">
        <f>I353/H353*100</f>
        <v>94.70509977827051</v>
      </c>
    </row>
    <row r="354" spans="1:12" ht="60" customHeight="1">
      <c r="A354" s="28">
        <v>341</v>
      </c>
      <c r="B354" s="60" t="s">
        <v>438</v>
      </c>
      <c r="C354" s="44">
        <v>901</v>
      </c>
      <c r="D354" s="46">
        <v>801</v>
      </c>
      <c r="E354" s="47" t="s">
        <v>439</v>
      </c>
      <c r="F354" s="47"/>
      <c r="G354" s="117">
        <f>SUM(G355)</f>
        <v>0</v>
      </c>
      <c r="H354" s="118">
        <f>SUM(H355)</f>
        <v>337.709</v>
      </c>
      <c r="I354" s="117">
        <f>SUM(I355)</f>
        <v>337.7</v>
      </c>
      <c r="J354" s="119"/>
      <c r="K354" s="119"/>
      <c r="L354" s="118">
        <f>SUM(L355)</f>
        <v>99.99733498366938</v>
      </c>
    </row>
    <row r="355" spans="1:12" ht="29.25" customHeight="1">
      <c r="A355" s="28">
        <v>342</v>
      </c>
      <c r="B355" s="48" t="s">
        <v>38</v>
      </c>
      <c r="C355" s="49">
        <v>901</v>
      </c>
      <c r="D355" s="50">
        <v>801</v>
      </c>
      <c r="E355" s="42" t="s">
        <v>439</v>
      </c>
      <c r="F355" s="42" t="s">
        <v>37</v>
      </c>
      <c r="G355" s="116">
        <v>0</v>
      </c>
      <c r="H355" s="100">
        <f>293.593+44.116</f>
        <v>337.709</v>
      </c>
      <c r="I355" s="116">
        <v>337.7</v>
      </c>
      <c r="J355" s="120"/>
      <c r="K355" s="120"/>
      <c r="L355" s="100">
        <f>I355/H355*100</f>
        <v>99.99733498366938</v>
      </c>
    </row>
    <row r="356" spans="1:12" ht="30.75" customHeight="1">
      <c r="A356" s="28">
        <v>343</v>
      </c>
      <c r="B356" s="19" t="s">
        <v>108</v>
      </c>
      <c r="C356" s="28">
        <v>901</v>
      </c>
      <c r="D356" s="36">
        <v>801</v>
      </c>
      <c r="E356" s="37" t="s">
        <v>207</v>
      </c>
      <c r="F356" s="38"/>
      <c r="G356" s="99">
        <f>SUM(G357:G359)</f>
        <v>2247</v>
      </c>
      <c r="H356" s="110">
        <f>SUM(H357:H359)</f>
        <v>2344.192</v>
      </c>
      <c r="I356" s="99">
        <f>SUM(I357:I359)</f>
        <v>2277.6</v>
      </c>
      <c r="J356" s="113"/>
      <c r="K356" s="114"/>
      <c r="L356" s="110">
        <f>I356/H356*100</f>
        <v>97.1592770558043</v>
      </c>
    </row>
    <row r="357" spans="1:12" ht="13.5">
      <c r="A357" s="44">
        <v>344</v>
      </c>
      <c r="B357" s="34" t="s">
        <v>73</v>
      </c>
      <c r="C357" s="30">
        <v>901</v>
      </c>
      <c r="D357" s="39">
        <v>801</v>
      </c>
      <c r="E357" s="38" t="s">
        <v>207</v>
      </c>
      <c r="F357" s="38" t="s">
        <v>37</v>
      </c>
      <c r="G357" s="115">
        <v>1263.1</v>
      </c>
      <c r="H357" s="100">
        <f>1263.149+294.85+55.776-195.317-34.301</f>
        <v>1384.157</v>
      </c>
      <c r="I357" s="115">
        <v>1384.2</v>
      </c>
      <c r="J357" s="113"/>
      <c r="K357" s="114"/>
      <c r="L357" s="100">
        <f>I357/H357*100</f>
        <v>100.00310658400747</v>
      </c>
    </row>
    <row r="358" spans="1:12" ht="30" customHeight="1">
      <c r="A358" s="44">
        <v>345</v>
      </c>
      <c r="B358" s="34" t="s">
        <v>245</v>
      </c>
      <c r="C358" s="30">
        <v>901</v>
      </c>
      <c r="D358" s="39">
        <v>801</v>
      </c>
      <c r="E358" s="38" t="s">
        <v>207</v>
      </c>
      <c r="F358" s="38" t="s">
        <v>67</v>
      </c>
      <c r="G358" s="115">
        <v>981.9</v>
      </c>
      <c r="H358" s="100">
        <f>981.88-56.146+34.301</f>
        <v>960.0350000000001</v>
      </c>
      <c r="I358" s="115">
        <v>893.4</v>
      </c>
      <c r="J358" s="113"/>
      <c r="K358" s="114"/>
      <c r="L358" s="100">
        <f>I358/H358*100</f>
        <v>93.05910722004927</v>
      </c>
    </row>
    <row r="359" spans="1:12" ht="18" customHeight="1">
      <c r="A359" s="28">
        <v>346</v>
      </c>
      <c r="B359" s="34" t="s">
        <v>237</v>
      </c>
      <c r="C359" s="30">
        <v>901</v>
      </c>
      <c r="D359" s="39">
        <v>801</v>
      </c>
      <c r="E359" s="38" t="s">
        <v>207</v>
      </c>
      <c r="F359" s="38" t="s">
        <v>238</v>
      </c>
      <c r="G359" s="115">
        <v>2</v>
      </c>
      <c r="H359" s="100">
        <f>2-2</f>
        <v>0</v>
      </c>
      <c r="I359" s="115">
        <v>0</v>
      </c>
      <c r="J359" s="113"/>
      <c r="K359" s="114"/>
      <c r="L359" s="100">
        <f>2-2</f>
        <v>0</v>
      </c>
    </row>
    <row r="360" spans="1:12" ht="60" customHeight="1">
      <c r="A360" s="28">
        <v>347</v>
      </c>
      <c r="B360" s="60" t="s">
        <v>438</v>
      </c>
      <c r="C360" s="44">
        <v>901</v>
      </c>
      <c r="D360" s="46">
        <v>801</v>
      </c>
      <c r="E360" s="47" t="s">
        <v>440</v>
      </c>
      <c r="F360" s="47"/>
      <c r="G360" s="117">
        <f>SUM(G361)</f>
        <v>0</v>
      </c>
      <c r="H360" s="118">
        <f>SUM(H361)</f>
        <v>285.78700000000003</v>
      </c>
      <c r="I360" s="117">
        <f>SUM(I361)</f>
        <v>285.8</v>
      </c>
      <c r="J360" s="119"/>
      <c r="K360" s="119"/>
      <c r="L360" s="118">
        <f>SUM(L361)</f>
        <v>100.00454884231962</v>
      </c>
    </row>
    <row r="361" spans="1:12" ht="26.25" customHeight="1">
      <c r="A361" s="28">
        <v>348</v>
      </c>
      <c r="B361" s="48" t="s">
        <v>38</v>
      </c>
      <c r="C361" s="49">
        <v>901</v>
      </c>
      <c r="D361" s="50">
        <v>801</v>
      </c>
      <c r="E361" s="42" t="s">
        <v>440</v>
      </c>
      <c r="F361" s="42" t="s">
        <v>37</v>
      </c>
      <c r="G361" s="116">
        <v>0</v>
      </c>
      <c r="H361" s="100">
        <f>238.406+47.381</f>
        <v>285.78700000000003</v>
      </c>
      <c r="I361" s="116">
        <v>285.8</v>
      </c>
      <c r="J361" s="120"/>
      <c r="K361" s="120"/>
      <c r="L361" s="100">
        <f>I361/H361*100</f>
        <v>100.00454884231962</v>
      </c>
    </row>
    <row r="362" spans="1:12" ht="45" customHeight="1">
      <c r="A362" s="28">
        <v>349</v>
      </c>
      <c r="B362" s="19" t="s">
        <v>109</v>
      </c>
      <c r="C362" s="28">
        <v>901</v>
      </c>
      <c r="D362" s="36">
        <v>801</v>
      </c>
      <c r="E362" s="37" t="s">
        <v>208</v>
      </c>
      <c r="F362" s="38"/>
      <c r="G362" s="99">
        <f>SUM(G363)</f>
        <v>450</v>
      </c>
      <c r="H362" s="110">
        <f>H363</f>
        <v>200</v>
      </c>
      <c r="I362" s="99">
        <f>SUM(I363)</f>
        <v>180.8</v>
      </c>
      <c r="J362" s="113"/>
      <c r="K362" s="114"/>
      <c r="L362" s="110">
        <f>L363</f>
        <v>90.4</v>
      </c>
    </row>
    <row r="363" spans="1:12" ht="29.25" customHeight="1">
      <c r="A363" s="28">
        <v>350</v>
      </c>
      <c r="B363" s="34" t="s">
        <v>245</v>
      </c>
      <c r="C363" s="30">
        <v>901</v>
      </c>
      <c r="D363" s="39">
        <v>801</v>
      </c>
      <c r="E363" s="38" t="s">
        <v>208</v>
      </c>
      <c r="F363" s="38" t="s">
        <v>67</v>
      </c>
      <c r="G363" s="115">
        <v>450</v>
      </c>
      <c r="H363" s="100">
        <f>450-250</f>
        <v>200</v>
      </c>
      <c r="I363" s="115">
        <v>180.8</v>
      </c>
      <c r="J363" s="113"/>
      <c r="K363" s="114"/>
      <c r="L363" s="100">
        <f>I363/H363*100</f>
        <v>90.4</v>
      </c>
    </row>
    <row r="364" spans="1:12" ht="15" customHeight="1">
      <c r="A364" s="28">
        <v>351</v>
      </c>
      <c r="B364" s="19" t="s">
        <v>110</v>
      </c>
      <c r="C364" s="28">
        <v>901</v>
      </c>
      <c r="D364" s="36">
        <v>801</v>
      </c>
      <c r="E364" s="37" t="s">
        <v>209</v>
      </c>
      <c r="F364" s="38"/>
      <c r="G364" s="99">
        <f>SUM(G365)</f>
        <v>370.3</v>
      </c>
      <c r="H364" s="110">
        <f>H365</f>
        <v>395.336</v>
      </c>
      <c r="I364" s="99">
        <f>SUM(I365)</f>
        <v>364.8</v>
      </c>
      <c r="J364" s="113"/>
      <c r="K364" s="114"/>
      <c r="L364" s="110">
        <f>L365</f>
        <v>92.27593743043892</v>
      </c>
    </row>
    <row r="365" spans="1:12" ht="26.25" customHeight="1">
      <c r="A365" s="28">
        <v>352</v>
      </c>
      <c r="B365" s="34" t="s">
        <v>245</v>
      </c>
      <c r="C365" s="30">
        <v>901</v>
      </c>
      <c r="D365" s="39">
        <v>801</v>
      </c>
      <c r="E365" s="38" t="s">
        <v>209</v>
      </c>
      <c r="F365" s="38" t="s">
        <v>67</v>
      </c>
      <c r="G365" s="115">
        <v>370.3</v>
      </c>
      <c r="H365" s="100">
        <f>370.336+25</f>
        <v>395.336</v>
      </c>
      <c r="I365" s="115">
        <v>364.8</v>
      </c>
      <c r="J365" s="113"/>
      <c r="K365" s="114"/>
      <c r="L365" s="100">
        <f>I365/H365*100</f>
        <v>92.27593743043892</v>
      </c>
    </row>
    <row r="366" spans="1:12" ht="26.25" customHeight="1">
      <c r="A366" s="28">
        <v>353</v>
      </c>
      <c r="B366" s="19" t="s">
        <v>289</v>
      </c>
      <c r="C366" s="28">
        <v>901</v>
      </c>
      <c r="D366" s="36">
        <v>801</v>
      </c>
      <c r="E366" s="37" t="s">
        <v>290</v>
      </c>
      <c r="F366" s="37"/>
      <c r="G366" s="99">
        <f>SUM(G367)</f>
        <v>3828.8</v>
      </c>
      <c r="H366" s="110">
        <f>SUM(H367)</f>
        <v>4857.205</v>
      </c>
      <c r="I366" s="99">
        <f>SUM(I367)</f>
        <v>4857.2</v>
      </c>
      <c r="J366" s="111"/>
      <c r="K366" s="112"/>
      <c r="L366" s="110">
        <f>SUM(L367)</f>
        <v>99.99989706014055</v>
      </c>
    </row>
    <row r="367" spans="1:12" ht="26.25" customHeight="1">
      <c r="A367" s="28">
        <v>354</v>
      </c>
      <c r="B367" s="34" t="s">
        <v>73</v>
      </c>
      <c r="C367" s="30">
        <v>901</v>
      </c>
      <c r="D367" s="39">
        <v>801</v>
      </c>
      <c r="E367" s="38" t="s">
        <v>290</v>
      </c>
      <c r="F367" s="38" t="s">
        <v>37</v>
      </c>
      <c r="G367" s="115">
        <v>3828.8</v>
      </c>
      <c r="H367" s="100">
        <f>3828.799+86.328+590+352.078</f>
        <v>4857.205</v>
      </c>
      <c r="I367" s="115">
        <v>4857.2</v>
      </c>
      <c r="J367" s="113"/>
      <c r="K367" s="114"/>
      <c r="L367" s="100">
        <f>I367/H367*100</f>
        <v>99.99989706014055</v>
      </c>
    </row>
    <row r="368" spans="1:12" ht="13.5">
      <c r="A368" s="28">
        <v>355</v>
      </c>
      <c r="B368" s="19" t="s">
        <v>24</v>
      </c>
      <c r="C368" s="28">
        <v>901</v>
      </c>
      <c r="D368" s="36">
        <v>1000</v>
      </c>
      <c r="E368" s="37"/>
      <c r="F368" s="38"/>
      <c r="G368" s="99">
        <f>SUM(G369+G373+G405)</f>
        <v>35902.4</v>
      </c>
      <c r="H368" s="110">
        <f>SUM(H369+H373+H405)</f>
        <v>33249.104999999996</v>
      </c>
      <c r="I368" s="99">
        <f>SUM(I369+I373+I405)</f>
        <v>27836.9</v>
      </c>
      <c r="J368" s="113"/>
      <c r="K368" s="114"/>
      <c r="L368" s="110">
        <f>I368/H368*100</f>
        <v>83.72225357644967</v>
      </c>
    </row>
    <row r="369" spans="1:12" ht="13.5">
      <c r="A369" s="28">
        <v>356</v>
      </c>
      <c r="B369" s="19" t="s">
        <v>28</v>
      </c>
      <c r="C369" s="28">
        <v>901</v>
      </c>
      <c r="D369" s="36">
        <v>1001</v>
      </c>
      <c r="E369" s="37"/>
      <c r="F369" s="38"/>
      <c r="G369" s="99">
        <f>SUM(G370)</f>
        <v>1947</v>
      </c>
      <c r="H369" s="110">
        <f>SUM(H370)</f>
        <v>1965.43</v>
      </c>
      <c r="I369" s="99">
        <f>SUM(I370)</f>
        <v>1965.4</v>
      </c>
      <c r="J369" s="100"/>
      <c r="K369" s="101"/>
      <c r="L369" s="110">
        <f>SUM(L370)</f>
        <v>99.99847361646053</v>
      </c>
    </row>
    <row r="370" spans="1:12" ht="39.75" customHeight="1">
      <c r="A370" s="28">
        <v>357</v>
      </c>
      <c r="B370" s="19" t="s">
        <v>417</v>
      </c>
      <c r="C370" s="28">
        <v>901</v>
      </c>
      <c r="D370" s="36">
        <v>1001</v>
      </c>
      <c r="E370" s="37" t="s">
        <v>151</v>
      </c>
      <c r="F370" s="38"/>
      <c r="G370" s="99">
        <f>SUM(G371)</f>
        <v>1947</v>
      </c>
      <c r="H370" s="110">
        <f>H371</f>
        <v>1965.43</v>
      </c>
      <c r="I370" s="99">
        <f>SUM(I371)</f>
        <v>1965.4</v>
      </c>
      <c r="J370" s="113"/>
      <c r="K370" s="114"/>
      <c r="L370" s="110">
        <f>L371</f>
        <v>99.99847361646053</v>
      </c>
    </row>
    <row r="371" spans="1:12" ht="67.5">
      <c r="A371" s="28">
        <v>358</v>
      </c>
      <c r="B371" s="43" t="s">
        <v>111</v>
      </c>
      <c r="C371" s="53">
        <v>901</v>
      </c>
      <c r="D371" s="36">
        <v>1001</v>
      </c>
      <c r="E371" s="37" t="s">
        <v>210</v>
      </c>
      <c r="F371" s="38"/>
      <c r="G371" s="99">
        <f>SUM(G372)</f>
        <v>1947</v>
      </c>
      <c r="H371" s="110">
        <f>H372</f>
        <v>1965.43</v>
      </c>
      <c r="I371" s="99">
        <f>SUM(I372)</f>
        <v>1965.4</v>
      </c>
      <c r="J371" s="113"/>
      <c r="K371" s="114"/>
      <c r="L371" s="110">
        <f>L372</f>
        <v>99.99847361646053</v>
      </c>
    </row>
    <row r="372" spans="1:12" ht="27">
      <c r="A372" s="28">
        <v>359</v>
      </c>
      <c r="B372" s="34" t="s">
        <v>42</v>
      </c>
      <c r="C372" s="54">
        <v>901</v>
      </c>
      <c r="D372" s="39">
        <v>1001</v>
      </c>
      <c r="E372" s="38" t="s">
        <v>210</v>
      </c>
      <c r="F372" s="65" t="s">
        <v>41</v>
      </c>
      <c r="G372" s="101">
        <v>1947</v>
      </c>
      <c r="H372" s="100">
        <f>1947+18.43</f>
        <v>1965.43</v>
      </c>
      <c r="I372" s="101">
        <v>1965.4</v>
      </c>
      <c r="J372" s="113"/>
      <c r="K372" s="114"/>
      <c r="L372" s="100">
        <f aca="true" t="shared" si="11" ref="L372:L385">I372/H372*100</f>
        <v>99.99847361646053</v>
      </c>
    </row>
    <row r="373" spans="1:12" ht="16.5" customHeight="1">
      <c r="A373" s="28">
        <v>360</v>
      </c>
      <c r="B373" s="19" t="s">
        <v>26</v>
      </c>
      <c r="C373" s="53">
        <v>901</v>
      </c>
      <c r="D373" s="36">
        <v>1003</v>
      </c>
      <c r="E373" s="47"/>
      <c r="F373" s="38"/>
      <c r="G373" s="99">
        <f>SUM(G374+G386+G390+G393+G397+G400)</f>
        <v>31590</v>
      </c>
      <c r="H373" s="110">
        <f>SUM(H374+H386+H390+H393+H397+H400)</f>
        <v>28918.274999999998</v>
      </c>
      <c r="I373" s="99">
        <f>SUM(I374+I386+I390+I393+I397+I400)</f>
        <v>24368.8</v>
      </c>
      <c r="J373" s="113"/>
      <c r="K373" s="114"/>
      <c r="L373" s="110">
        <f t="shared" si="11"/>
        <v>84.2678202624465</v>
      </c>
    </row>
    <row r="374" spans="1:12" ht="27">
      <c r="A374" s="28">
        <v>361</v>
      </c>
      <c r="B374" s="19" t="s">
        <v>430</v>
      </c>
      <c r="C374" s="53">
        <v>901</v>
      </c>
      <c r="D374" s="36">
        <v>1003</v>
      </c>
      <c r="E374" s="37" t="s">
        <v>211</v>
      </c>
      <c r="F374" s="38"/>
      <c r="G374" s="99">
        <f>SUM(G375+G378+G381+G384)</f>
        <v>30376.6</v>
      </c>
      <c r="H374" s="118">
        <f>SUM(H375+H378+H381+H384)</f>
        <v>28881.399999999998</v>
      </c>
      <c r="I374" s="99">
        <f>SUM(I375+I378+I381+I384)</f>
        <v>24299.399999999998</v>
      </c>
      <c r="J374" s="113"/>
      <c r="K374" s="114"/>
      <c r="L374" s="118">
        <f t="shared" si="11"/>
        <v>84.13511810369303</v>
      </c>
    </row>
    <row r="375" spans="1:12" ht="135">
      <c r="A375" s="28">
        <v>362</v>
      </c>
      <c r="B375" s="19" t="s">
        <v>112</v>
      </c>
      <c r="C375" s="28">
        <v>901</v>
      </c>
      <c r="D375" s="36">
        <v>1003</v>
      </c>
      <c r="E375" s="37" t="s">
        <v>212</v>
      </c>
      <c r="F375" s="38"/>
      <c r="G375" s="99">
        <f>SUM(G376:G377)</f>
        <v>3869</v>
      </c>
      <c r="H375" s="110">
        <f>H377+H376</f>
        <v>3869</v>
      </c>
      <c r="I375" s="99">
        <f>SUM(I376:I377)</f>
        <v>2718.6</v>
      </c>
      <c r="J375" s="113"/>
      <c r="K375" s="114"/>
      <c r="L375" s="110">
        <f t="shared" si="11"/>
        <v>70.26621866115275</v>
      </c>
    </row>
    <row r="376" spans="1:12" ht="27" customHeight="1">
      <c r="A376" s="28">
        <v>363</v>
      </c>
      <c r="B376" s="34" t="s">
        <v>245</v>
      </c>
      <c r="C376" s="30">
        <v>901</v>
      </c>
      <c r="D376" s="39">
        <v>1003</v>
      </c>
      <c r="E376" s="38" t="s">
        <v>212</v>
      </c>
      <c r="F376" s="38" t="s">
        <v>67</v>
      </c>
      <c r="G376" s="115">
        <v>45</v>
      </c>
      <c r="H376" s="100">
        <v>45</v>
      </c>
      <c r="I376" s="115">
        <v>39</v>
      </c>
      <c r="J376" s="113"/>
      <c r="K376" s="114"/>
      <c r="L376" s="100">
        <f t="shared" si="11"/>
        <v>86.66666666666667</v>
      </c>
    </row>
    <row r="377" spans="1:12" ht="13.5">
      <c r="A377" s="28">
        <v>364</v>
      </c>
      <c r="B377" s="34" t="s">
        <v>40</v>
      </c>
      <c r="C377" s="30">
        <v>901</v>
      </c>
      <c r="D377" s="39">
        <v>1003</v>
      </c>
      <c r="E377" s="38" t="s">
        <v>212</v>
      </c>
      <c r="F377" s="38" t="s">
        <v>39</v>
      </c>
      <c r="G377" s="115">
        <v>3824</v>
      </c>
      <c r="H377" s="100">
        <v>3824</v>
      </c>
      <c r="I377" s="115">
        <v>2679.6</v>
      </c>
      <c r="J377" s="113"/>
      <c r="K377" s="114"/>
      <c r="L377" s="100">
        <f t="shared" si="11"/>
        <v>70.07322175732217</v>
      </c>
    </row>
    <row r="378" spans="1:12" ht="121.5">
      <c r="A378" s="28">
        <v>365</v>
      </c>
      <c r="B378" s="19" t="s">
        <v>113</v>
      </c>
      <c r="C378" s="28">
        <v>901</v>
      </c>
      <c r="D378" s="36">
        <v>1003</v>
      </c>
      <c r="E378" s="47" t="s">
        <v>213</v>
      </c>
      <c r="F378" s="38"/>
      <c r="G378" s="99">
        <f>SUM(G379:G380)</f>
        <v>6237.6</v>
      </c>
      <c r="H378" s="110">
        <f>SUM(H379:H380)</f>
        <v>4737.6</v>
      </c>
      <c r="I378" s="99">
        <f>SUM(I379:I380)</f>
        <v>3599.2</v>
      </c>
      <c r="J378" s="113"/>
      <c r="K378" s="114"/>
      <c r="L378" s="110">
        <f t="shared" si="11"/>
        <v>75.9709557581898</v>
      </c>
    </row>
    <row r="379" spans="1:12" ht="28.5" customHeight="1">
      <c r="A379" s="28">
        <v>366</v>
      </c>
      <c r="B379" s="34" t="s">
        <v>245</v>
      </c>
      <c r="C379" s="30">
        <v>901</v>
      </c>
      <c r="D379" s="39">
        <v>1003</v>
      </c>
      <c r="E379" s="42" t="s">
        <v>213</v>
      </c>
      <c r="F379" s="38" t="s">
        <v>67</v>
      </c>
      <c r="G379" s="115">
        <v>72.1</v>
      </c>
      <c r="H379" s="100">
        <v>72.1</v>
      </c>
      <c r="I379" s="115">
        <v>41.5</v>
      </c>
      <c r="J379" s="113"/>
      <c r="K379" s="114"/>
      <c r="L379" s="100">
        <f t="shared" si="11"/>
        <v>57.55894590846048</v>
      </c>
    </row>
    <row r="380" spans="1:12" ht="19.5" customHeight="1">
      <c r="A380" s="28">
        <v>367</v>
      </c>
      <c r="B380" s="34" t="s">
        <v>40</v>
      </c>
      <c r="C380" s="30">
        <v>901</v>
      </c>
      <c r="D380" s="39">
        <v>1003</v>
      </c>
      <c r="E380" s="42" t="s">
        <v>213</v>
      </c>
      <c r="F380" s="38" t="s">
        <v>39</v>
      </c>
      <c r="G380" s="115">
        <v>6165.5</v>
      </c>
      <c r="H380" s="100">
        <f>6165.5-1500</f>
        <v>4665.5</v>
      </c>
      <c r="I380" s="115">
        <v>3557.7</v>
      </c>
      <c r="J380" s="113"/>
      <c r="K380" s="114"/>
      <c r="L380" s="100">
        <f t="shared" si="11"/>
        <v>76.25549244453971</v>
      </c>
    </row>
    <row r="381" spans="1:12" ht="148.5">
      <c r="A381" s="28">
        <v>368</v>
      </c>
      <c r="B381" s="19" t="s">
        <v>114</v>
      </c>
      <c r="C381" s="28">
        <v>901</v>
      </c>
      <c r="D381" s="36">
        <v>1003</v>
      </c>
      <c r="E381" s="37" t="s">
        <v>214</v>
      </c>
      <c r="F381" s="38"/>
      <c r="G381" s="99">
        <f>SUM(G382:G383)</f>
        <v>20270</v>
      </c>
      <c r="H381" s="118">
        <f>SUM(H382:H383)</f>
        <v>20270</v>
      </c>
      <c r="I381" s="99">
        <f>SUM(I382:I383)</f>
        <v>17979.3</v>
      </c>
      <c r="J381" s="113"/>
      <c r="K381" s="114"/>
      <c r="L381" s="118">
        <f t="shared" si="11"/>
        <v>88.69906265416871</v>
      </c>
    </row>
    <row r="382" spans="1:12" ht="27" customHeight="1">
      <c r="A382" s="28">
        <v>369</v>
      </c>
      <c r="B382" s="34" t="s">
        <v>245</v>
      </c>
      <c r="C382" s="30">
        <v>901</v>
      </c>
      <c r="D382" s="39">
        <v>1003</v>
      </c>
      <c r="E382" s="38" t="s">
        <v>214</v>
      </c>
      <c r="F382" s="38" t="s">
        <v>67</v>
      </c>
      <c r="G382" s="115">
        <v>270</v>
      </c>
      <c r="H382" s="100">
        <v>270</v>
      </c>
      <c r="I382" s="115">
        <v>242</v>
      </c>
      <c r="J382" s="113"/>
      <c r="K382" s="114"/>
      <c r="L382" s="100">
        <f t="shared" si="11"/>
        <v>89.62962962962962</v>
      </c>
    </row>
    <row r="383" spans="1:12" ht="12.75" customHeight="1">
      <c r="A383" s="28">
        <v>370</v>
      </c>
      <c r="B383" s="34" t="s">
        <v>40</v>
      </c>
      <c r="C383" s="30">
        <v>901</v>
      </c>
      <c r="D383" s="39">
        <v>1003</v>
      </c>
      <c r="E383" s="38" t="s">
        <v>214</v>
      </c>
      <c r="F383" s="38" t="s">
        <v>39</v>
      </c>
      <c r="G383" s="115">
        <v>20000</v>
      </c>
      <c r="H383" s="100">
        <v>20000</v>
      </c>
      <c r="I383" s="115">
        <v>17737.3</v>
      </c>
      <c r="J383" s="113"/>
      <c r="K383" s="114"/>
      <c r="L383" s="100">
        <f t="shared" si="11"/>
        <v>88.6865</v>
      </c>
    </row>
    <row r="384" spans="1:12" ht="131.25" customHeight="1">
      <c r="A384" s="28">
        <v>371</v>
      </c>
      <c r="B384" s="63" t="s">
        <v>364</v>
      </c>
      <c r="C384" s="44">
        <v>901</v>
      </c>
      <c r="D384" s="46">
        <v>1003</v>
      </c>
      <c r="E384" s="47" t="s">
        <v>365</v>
      </c>
      <c r="F384" s="47"/>
      <c r="G384" s="117">
        <v>0</v>
      </c>
      <c r="H384" s="118">
        <f>SUM(H385)</f>
        <v>4.8</v>
      </c>
      <c r="I384" s="117">
        <f>SUM(I385)</f>
        <v>2.3</v>
      </c>
      <c r="J384" s="119"/>
      <c r="K384" s="119"/>
      <c r="L384" s="118">
        <f t="shared" si="11"/>
        <v>47.916666666666664</v>
      </c>
    </row>
    <row r="385" spans="1:12" ht="16.5" customHeight="1">
      <c r="A385" s="28">
        <v>372</v>
      </c>
      <c r="B385" s="48" t="s">
        <v>40</v>
      </c>
      <c r="C385" s="49">
        <v>901</v>
      </c>
      <c r="D385" s="50">
        <v>1003</v>
      </c>
      <c r="E385" s="42" t="s">
        <v>365</v>
      </c>
      <c r="F385" s="42" t="s">
        <v>39</v>
      </c>
      <c r="G385" s="116">
        <v>0</v>
      </c>
      <c r="H385" s="100">
        <v>4.8</v>
      </c>
      <c r="I385" s="116">
        <v>2.3</v>
      </c>
      <c r="J385" s="120"/>
      <c r="K385" s="120"/>
      <c r="L385" s="100">
        <f t="shared" si="11"/>
        <v>47.916666666666664</v>
      </c>
    </row>
    <row r="386" spans="1:12" ht="40.5">
      <c r="A386" s="28">
        <v>373</v>
      </c>
      <c r="B386" s="19" t="s">
        <v>431</v>
      </c>
      <c r="C386" s="28">
        <v>901</v>
      </c>
      <c r="D386" s="36">
        <v>1003</v>
      </c>
      <c r="E386" s="61" t="s">
        <v>215</v>
      </c>
      <c r="F386" s="38"/>
      <c r="G386" s="99">
        <f>SUM(G387)</f>
        <v>140.5</v>
      </c>
      <c r="H386" s="118">
        <f>H387</f>
        <v>11.87500000000001</v>
      </c>
      <c r="I386" s="99">
        <f>SUM(I387)</f>
        <v>9.4</v>
      </c>
      <c r="J386" s="113"/>
      <c r="K386" s="114"/>
      <c r="L386" s="118">
        <f>L387</f>
        <v>79.00000000000001</v>
      </c>
    </row>
    <row r="387" spans="1:12" ht="46.5" customHeight="1">
      <c r="A387" s="28">
        <v>374</v>
      </c>
      <c r="B387" s="59" t="s">
        <v>332</v>
      </c>
      <c r="C387" s="28">
        <v>901</v>
      </c>
      <c r="D387" s="36">
        <v>1003</v>
      </c>
      <c r="E387" s="67" t="s">
        <v>236</v>
      </c>
      <c r="F387" s="38"/>
      <c r="G387" s="99">
        <f>SUM(G388:G389)</f>
        <v>140.5</v>
      </c>
      <c r="H387" s="118">
        <f>H388+H389</f>
        <v>11.87500000000001</v>
      </c>
      <c r="I387" s="99">
        <f>SUM(I388:I389)</f>
        <v>9.4</v>
      </c>
      <c r="J387" s="113"/>
      <c r="K387" s="114"/>
      <c r="L387" s="118">
        <f>L388+L389</f>
        <v>79.00000000000001</v>
      </c>
    </row>
    <row r="388" spans="1:12" ht="13.5">
      <c r="A388" s="28">
        <v>375</v>
      </c>
      <c r="B388" s="34" t="s">
        <v>40</v>
      </c>
      <c r="C388" s="30">
        <v>901</v>
      </c>
      <c r="D388" s="39">
        <v>1003</v>
      </c>
      <c r="E388" s="68" t="s">
        <v>236</v>
      </c>
      <c r="F388" s="65" t="s">
        <v>39</v>
      </c>
      <c r="G388" s="101">
        <v>7.2</v>
      </c>
      <c r="H388" s="100">
        <f>7.2+4.675</f>
        <v>11.875</v>
      </c>
      <c r="I388" s="101">
        <v>9.4</v>
      </c>
      <c r="J388" s="113"/>
      <c r="K388" s="114"/>
      <c r="L388" s="100">
        <v>79</v>
      </c>
    </row>
    <row r="389" spans="1:12" ht="27">
      <c r="A389" s="28">
        <v>376</v>
      </c>
      <c r="B389" s="34" t="s">
        <v>69</v>
      </c>
      <c r="C389" s="30">
        <v>901</v>
      </c>
      <c r="D389" s="39">
        <v>1003</v>
      </c>
      <c r="E389" s="68" t="s">
        <v>236</v>
      </c>
      <c r="F389" s="38" t="s">
        <v>67</v>
      </c>
      <c r="G389" s="115">
        <v>133.3</v>
      </c>
      <c r="H389" s="100">
        <f>133.3-130-3.3</f>
        <v>1.1546319456101628E-14</v>
      </c>
      <c r="I389" s="115">
        <v>0</v>
      </c>
      <c r="J389" s="113"/>
      <c r="K389" s="114"/>
      <c r="L389" s="100">
        <f>133.3-130-3.3</f>
        <v>1.1546319456101628E-14</v>
      </c>
    </row>
    <row r="390" spans="1:12" ht="39" customHeight="1">
      <c r="A390" s="28">
        <v>377</v>
      </c>
      <c r="B390" s="19" t="s">
        <v>432</v>
      </c>
      <c r="C390" s="28">
        <v>901</v>
      </c>
      <c r="D390" s="36">
        <v>1003</v>
      </c>
      <c r="E390" s="67" t="s">
        <v>216</v>
      </c>
      <c r="F390" s="38"/>
      <c r="G390" s="99">
        <f>SUM(G391)</f>
        <v>400</v>
      </c>
      <c r="H390" s="110">
        <f>SUM(H391)</f>
        <v>0</v>
      </c>
      <c r="I390" s="99">
        <v>0</v>
      </c>
      <c r="J390" s="113"/>
      <c r="K390" s="114"/>
      <c r="L390" s="110">
        <f>SUM(L391)</f>
        <v>0</v>
      </c>
    </row>
    <row r="391" spans="1:12" ht="31.5" customHeight="1">
      <c r="A391" s="28">
        <v>378</v>
      </c>
      <c r="B391" s="19" t="s">
        <v>132</v>
      </c>
      <c r="C391" s="28">
        <v>901</v>
      </c>
      <c r="D391" s="36">
        <v>1003</v>
      </c>
      <c r="E391" s="67" t="s">
        <v>217</v>
      </c>
      <c r="F391" s="38"/>
      <c r="G391" s="99">
        <f>SUM(G392)</f>
        <v>400</v>
      </c>
      <c r="H391" s="110">
        <f>H392</f>
        <v>0</v>
      </c>
      <c r="I391" s="99">
        <v>0</v>
      </c>
      <c r="J391" s="113"/>
      <c r="K391" s="114"/>
      <c r="L391" s="110">
        <f>L392</f>
        <v>0</v>
      </c>
    </row>
    <row r="392" spans="1:12" ht="27">
      <c r="A392" s="28">
        <v>379</v>
      </c>
      <c r="B392" s="34" t="s">
        <v>42</v>
      </c>
      <c r="C392" s="30">
        <v>901</v>
      </c>
      <c r="D392" s="39">
        <v>1003</v>
      </c>
      <c r="E392" s="68" t="s">
        <v>217</v>
      </c>
      <c r="F392" s="38" t="s">
        <v>41</v>
      </c>
      <c r="G392" s="115">
        <v>400</v>
      </c>
      <c r="H392" s="100">
        <v>0</v>
      </c>
      <c r="I392" s="115">
        <v>0</v>
      </c>
      <c r="J392" s="113"/>
      <c r="K392" s="114"/>
      <c r="L392" s="100">
        <v>0</v>
      </c>
    </row>
    <row r="393" spans="1:12" ht="40.5">
      <c r="A393" s="28">
        <v>380</v>
      </c>
      <c r="B393" s="19" t="s">
        <v>333</v>
      </c>
      <c r="C393" s="28">
        <v>901</v>
      </c>
      <c r="D393" s="36">
        <v>1003</v>
      </c>
      <c r="E393" s="67" t="s">
        <v>336</v>
      </c>
      <c r="F393" s="37"/>
      <c r="G393" s="99">
        <f aca="true" t="shared" si="12" ref="G393:H395">SUM(G394)</f>
        <v>637.9</v>
      </c>
      <c r="H393" s="110">
        <f t="shared" si="12"/>
        <v>0</v>
      </c>
      <c r="I393" s="99">
        <v>0</v>
      </c>
      <c r="J393" s="111"/>
      <c r="K393" s="112"/>
      <c r="L393" s="110">
        <f>SUM(L394)</f>
        <v>0</v>
      </c>
    </row>
    <row r="394" spans="1:12" ht="67.5">
      <c r="A394" s="28">
        <v>381</v>
      </c>
      <c r="B394" s="19" t="s">
        <v>334</v>
      </c>
      <c r="C394" s="28">
        <v>901</v>
      </c>
      <c r="D394" s="36">
        <v>1003</v>
      </c>
      <c r="E394" s="67" t="s">
        <v>337</v>
      </c>
      <c r="F394" s="37"/>
      <c r="G394" s="99">
        <f t="shared" si="12"/>
        <v>637.9</v>
      </c>
      <c r="H394" s="110">
        <f t="shared" si="12"/>
        <v>0</v>
      </c>
      <c r="I394" s="99">
        <v>0</v>
      </c>
      <c r="J394" s="111"/>
      <c r="K394" s="112"/>
      <c r="L394" s="110">
        <f>SUM(L395)</f>
        <v>0</v>
      </c>
    </row>
    <row r="395" spans="1:12" ht="27">
      <c r="A395" s="28">
        <v>382</v>
      </c>
      <c r="B395" s="19" t="s">
        <v>335</v>
      </c>
      <c r="C395" s="28">
        <v>901</v>
      </c>
      <c r="D395" s="36">
        <v>1003</v>
      </c>
      <c r="E395" s="67" t="s">
        <v>338</v>
      </c>
      <c r="F395" s="37"/>
      <c r="G395" s="99">
        <f t="shared" si="12"/>
        <v>637.9</v>
      </c>
      <c r="H395" s="110">
        <f t="shared" si="12"/>
        <v>0</v>
      </c>
      <c r="I395" s="99">
        <v>0</v>
      </c>
      <c r="J395" s="111"/>
      <c r="K395" s="112"/>
      <c r="L395" s="110">
        <f>SUM(L396)</f>
        <v>0</v>
      </c>
    </row>
    <row r="396" spans="1:12" ht="27">
      <c r="A396" s="28">
        <v>383</v>
      </c>
      <c r="B396" s="34" t="s">
        <v>42</v>
      </c>
      <c r="C396" s="30">
        <v>901</v>
      </c>
      <c r="D396" s="39">
        <v>1003</v>
      </c>
      <c r="E396" s="68" t="s">
        <v>338</v>
      </c>
      <c r="F396" s="38" t="s">
        <v>41</v>
      </c>
      <c r="G396" s="115">
        <v>637.9</v>
      </c>
      <c r="H396" s="100">
        <v>0</v>
      </c>
      <c r="I396" s="115">
        <v>0</v>
      </c>
      <c r="J396" s="113"/>
      <c r="K396" s="114"/>
      <c r="L396" s="100">
        <v>0</v>
      </c>
    </row>
    <row r="397" spans="1:12" ht="32.25" customHeight="1">
      <c r="A397" s="28">
        <v>384</v>
      </c>
      <c r="B397" s="60" t="s">
        <v>345</v>
      </c>
      <c r="C397" s="28">
        <v>901</v>
      </c>
      <c r="D397" s="36">
        <v>1003</v>
      </c>
      <c r="E397" s="76" t="s">
        <v>346</v>
      </c>
      <c r="F397" s="47"/>
      <c r="G397" s="117">
        <f aca="true" t="shared" si="13" ref="G397:I398">SUM(G398)</f>
        <v>15</v>
      </c>
      <c r="H397" s="110">
        <f t="shared" si="13"/>
        <v>15</v>
      </c>
      <c r="I397" s="117">
        <f t="shared" si="13"/>
        <v>15</v>
      </c>
      <c r="J397" s="111"/>
      <c r="K397" s="112"/>
      <c r="L397" s="110">
        <f>SUM(L398)</f>
        <v>100</v>
      </c>
    </row>
    <row r="398" spans="1:12" ht="27">
      <c r="A398" s="28">
        <v>385</v>
      </c>
      <c r="B398" s="70" t="s">
        <v>348</v>
      </c>
      <c r="C398" s="28">
        <v>901</v>
      </c>
      <c r="D398" s="36">
        <v>1003</v>
      </c>
      <c r="E398" s="76" t="s">
        <v>347</v>
      </c>
      <c r="F398" s="47"/>
      <c r="G398" s="117">
        <f t="shared" si="13"/>
        <v>15</v>
      </c>
      <c r="H398" s="110">
        <f t="shared" si="13"/>
        <v>15</v>
      </c>
      <c r="I398" s="117">
        <f t="shared" si="13"/>
        <v>15</v>
      </c>
      <c r="J398" s="111"/>
      <c r="K398" s="112"/>
      <c r="L398" s="110">
        <f>SUM(L399)</f>
        <v>100</v>
      </c>
    </row>
    <row r="399" spans="1:12" ht="34.5" customHeight="1">
      <c r="A399" s="28">
        <v>386</v>
      </c>
      <c r="B399" s="48" t="s">
        <v>245</v>
      </c>
      <c r="C399" s="30">
        <v>901</v>
      </c>
      <c r="D399" s="39">
        <v>1003</v>
      </c>
      <c r="E399" s="78" t="s">
        <v>347</v>
      </c>
      <c r="F399" s="42" t="s">
        <v>67</v>
      </c>
      <c r="G399" s="116">
        <v>15</v>
      </c>
      <c r="H399" s="100">
        <v>15</v>
      </c>
      <c r="I399" s="116">
        <v>15</v>
      </c>
      <c r="J399" s="113"/>
      <c r="K399" s="114"/>
      <c r="L399" s="100">
        <f>I399/H399*100</f>
        <v>100</v>
      </c>
    </row>
    <row r="400" spans="1:12" ht="19.5" customHeight="1">
      <c r="A400" s="28">
        <v>387</v>
      </c>
      <c r="B400" s="72" t="s">
        <v>63</v>
      </c>
      <c r="C400" s="28">
        <v>901</v>
      </c>
      <c r="D400" s="36">
        <v>1003</v>
      </c>
      <c r="E400" s="67" t="s">
        <v>143</v>
      </c>
      <c r="F400" s="37"/>
      <c r="G400" s="99">
        <f>SUM(G401+G403)</f>
        <v>20</v>
      </c>
      <c r="H400" s="110">
        <f>SUM(H403)</f>
        <v>10</v>
      </c>
      <c r="I400" s="99">
        <f>SUM(I401+I403)</f>
        <v>45</v>
      </c>
      <c r="J400" s="111"/>
      <c r="K400" s="112"/>
      <c r="L400" s="110">
        <f>I400/H400*100</f>
        <v>450</v>
      </c>
    </row>
    <row r="401" spans="1:12" ht="17.25" customHeight="1">
      <c r="A401" s="28">
        <v>388</v>
      </c>
      <c r="B401" s="51" t="s">
        <v>7</v>
      </c>
      <c r="C401" s="28">
        <v>901</v>
      </c>
      <c r="D401" s="36">
        <v>1003</v>
      </c>
      <c r="E401" s="67" t="s">
        <v>145</v>
      </c>
      <c r="F401" s="37"/>
      <c r="G401" s="99">
        <v>0</v>
      </c>
      <c r="H401" s="110">
        <v>0</v>
      </c>
      <c r="I401" s="99">
        <f>SUM(I402)</f>
        <v>37.5</v>
      </c>
      <c r="J401" s="111"/>
      <c r="K401" s="112"/>
      <c r="L401" s="110">
        <v>0</v>
      </c>
    </row>
    <row r="402" spans="1:12" ht="27">
      <c r="A402" s="28">
        <v>389</v>
      </c>
      <c r="B402" s="34" t="s">
        <v>42</v>
      </c>
      <c r="C402" s="30">
        <v>901</v>
      </c>
      <c r="D402" s="39">
        <v>1003</v>
      </c>
      <c r="E402" s="68" t="s">
        <v>145</v>
      </c>
      <c r="F402" s="38" t="s">
        <v>41</v>
      </c>
      <c r="G402" s="115">
        <v>0</v>
      </c>
      <c r="H402" s="100">
        <v>0</v>
      </c>
      <c r="I402" s="115">
        <v>37.5</v>
      </c>
      <c r="J402" s="113"/>
      <c r="K402" s="114"/>
      <c r="L402" s="100">
        <v>0</v>
      </c>
    </row>
    <row r="403" spans="1:12" ht="67.5">
      <c r="A403" s="28">
        <v>390</v>
      </c>
      <c r="B403" s="82" t="s">
        <v>136</v>
      </c>
      <c r="C403" s="28">
        <v>901</v>
      </c>
      <c r="D403" s="74">
        <v>1003</v>
      </c>
      <c r="E403" s="67" t="s">
        <v>229</v>
      </c>
      <c r="F403" s="68"/>
      <c r="G403" s="124">
        <f>SUM(G404)</f>
        <v>20</v>
      </c>
      <c r="H403" s="110">
        <f>H404</f>
        <v>10</v>
      </c>
      <c r="I403" s="124">
        <f>SUM(I404)</f>
        <v>7.5</v>
      </c>
      <c r="J403" s="113"/>
      <c r="K403" s="114"/>
      <c r="L403" s="110">
        <f>L404</f>
        <v>10</v>
      </c>
    </row>
    <row r="404" spans="1:12" ht="40.5">
      <c r="A404" s="28">
        <v>391</v>
      </c>
      <c r="B404" s="34" t="s">
        <v>249</v>
      </c>
      <c r="C404" s="30">
        <v>901</v>
      </c>
      <c r="D404" s="55">
        <v>1003</v>
      </c>
      <c r="E404" s="68" t="s">
        <v>229</v>
      </c>
      <c r="F404" s="68" t="s">
        <v>47</v>
      </c>
      <c r="G404" s="121">
        <v>20</v>
      </c>
      <c r="H404" s="100">
        <f>20-10</f>
        <v>10</v>
      </c>
      <c r="I404" s="121">
        <v>7.5</v>
      </c>
      <c r="J404" s="113"/>
      <c r="K404" s="114"/>
      <c r="L404" s="100">
        <f>20-10</f>
        <v>10</v>
      </c>
    </row>
    <row r="405" spans="1:12" ht="18" customHeight="1">
      <c r="A405" s="28">
        <v>392</v>
      </c>
      <c r="B405" s="19" t="s">
        <v>35</v>
      </c>
      <c r="C405" s="28">
        <v>901</v>
      </c>
      <c r="D405" s="36">
        <v>1006</v>
      </c>
      <c r="E405" s="62"/>
      <c r="F405" s="65"/>
      <c r="G405" s="98">
        <f>SUM(G406)</f>
        <v>2365.4</v>
      </c>
      <c r="H405" s="110">
        <f>SUM(H406)</f>
        <v>2365.4</v>
      </c>
      <c r="I405" s="98">
        <f>SUM(I406)</f>
        <v>1502.6999999999998</v>
      </c>
      <c r="J405" s="113"/>
      <c r="K405" s="114"/>
      <c r="L405" s="110">
        <f>SUM(L406)</f>
        <v>63.52836729517205</v>
      </c>
    </row>
    <row r="406" spans="1:12" ht="27">
      <c r="A406" s="28">
        <v>393</v>
      </c>
      <c r="B406" s="19" t="s">
        <v>430</v>
      </c>
      <c r="C406" s="28">
        <v>901</v>
      </c>
      <c r="D406" s="36">
        <v>1006</v>
      </c>
      <c r="E406" s="37" t="s">
        <v>211</v>
      </c>
      <c r="F406" s="38"/>
      <c r="G406" s="99">
        <f>SUM(G407+G410)</f>
        <v>2365.4</v>
      </c>
      <c r="H406" s="110">
        <f>H407+H410</f>
        <v>2365.4</v>
      </c>
      <c r="I406" s="99">
        <f>SUM(I407+I410)</f>
        <v>1502.6999999999998</v>
      </c>
      <c r="J406" s="113"/>
      <c r="K406" s="114"/>
      <c r="L406" s="110">
        <f aca="true" t="shared" si="14" ref="L406:L412">I406/H406*100</f>
        <v>63.52836729517205</v>
      </c>
    </row>
    <row r="407" spans="1:12" ht="121.5">
      <c r="A407" s="28">
        <v>394</v>
      </c>
      <c r="B407" s="19" t="s">
        <v>115</v>
      </c>
      <c r="C407" s="28">
        <v>901</v>
      </c>
      <c r="D407" s="36">
        <v>1006</v>
      </c>
      <c r="E407" s="47" t="s">
        <v>213</v>
      </c>
      <c r="F407" s="38"/>
      <c r="G407" s="99">
        <f>SUM(G408:G409)</f>
        <v>410.4</v>
      </c>
      <c r="H407" s="110">
        <f>H408+H409</f>
        <v>410.4</v>
      </c>
      <c r="I407" s="99">
        <f>SUM(I408:I409)</f>
        <v>302.9</v>
      </c>
      <c r="J407" s="113"/>
      <c r="K407" s="114"/>
      <c r="L407" s="110">
        <f t="shared" si="14"/>
        <v>73.80604288499025</v>
      </c>
    </row>
    <row r="408" spans="1:12" ht="27">
      <c r="A408" s="28">
        <v>395</v>
      </c>
      <c r="B408" s="34" t="s">
        <v>248</v>
      </c>
      <c r="C408" s="30">
        <v>901</v>
      </c>
      <c r="D408" s="39">
        <v>1006</v>
      </c>
      <c r="E408" s="42" t="s">
        <v>213</v>
      </c>
      <c r="F408" s="38" t="s">
        <v>43</v>
      </c>
      <c r="G408" s="115">
        <v>260.4</v>
      </c>
      <c r="H408" s="100">
        <f>260.4+55</f>
        <v>315.4</v>
      </c>
      <c r="I408" s="115">
        <v>297.2</v>
      </c>
      <c r="J408" s="113"/>
      <c r="K408" s="114"/>
      <c r="L408" s="100">
        <f t="shared" si="14"/>
        <v>94.2295497780596</v>
      </c>
    </row>
    <row r="409" spans="1:12" ht="30" customHeight="1">
      <c r="A409" s="28">
        <v>396</v>
      </c>
      <c r="B409" s="34" t="s">
        <v>245</v>
      </c>
      <c r="C409" s="30">
        <v>901</v>
      </c>
      <c r="D409" s="39">
        <v>1006</v>
      </c>
      <c r="E409" s="42" t="s">
        <v>213</v>
      </c>
      <c r="F409" s="38" t="s">
        <v>67</v>
      </c>
      <c r="G409" s="115">
        <v>150</v>
      </c>
      <c r="H409" s="100">
        <f>150-55</f>
        <v>95</v>
      </c>
      <c r="I409" s="115">
        <v>5.7</v>
      </c>
      <c r="J409" s="113"/>
      <c r="K409" s="114"/>
      <c r="L409" s="100">
        <f t="shared" si="14"/>
        <v>6.000000000000001</v>
      </c>
    </row>
    <row r="410" spans="1:12" ht="148.5">
      <c r="A410" s="28">
        <v>397</v>
      </c>
      <c r="B410" s="19" t="s">
        <v>116</v>
      </c>
      <c r="C410" s="28">
        <v>901</v>
      </c>
      <c r="D410" s="36">
        <v>1006</v>
      </c>
      <c r="E410" s="37" t="s">
        <v>214</v>
      </c>
      <c r="F410" s="38"/>
      <c r="G410" s="99">
        <f>SUM(G411:G412)</f>
        <v>1955</v>
      </c>
      <c r="H410" s="118">
        <f>H411+H412</f>
        <v>1955</v>
      </c>
      <c r="I410" s="99">
        <f>SUM(I411:I412)</f>
        <v>1199.8</v>
      </c>
      <c r="J410" s="113"/>
      <c r="K410" s="114"/>
      <c r="L410" s="118">
        <f t="shared" si="14"/>
        <v>61.37084398976982</v>
      </c>
    </row>
    <row r="411" spans="1:12" ht="27">
      <c r="A411" s="28">
        <v>398</v>
      </c>
      <c r="B411" s="34" t="s">
        <v>248</v>
      </c>
      <c r="C411" s="30">
        <v>901</v>
      </c>
      <c r="D411" s="39">
        <v>1006</v>
      </c>
      <c r="E411" s="38" t="s">
        <v>214</v>
      </c>
      <c r="F411" s="38" t="s">
        <v>43</v>
      </c>
      <c r="G411" s="115">
        <v>1174</v>
      </c>
      <c r="H411" s="100">
        <v>1174</v>
      </c>
      <c r="I411" s="115">
        <v>897.5</v>
      </c>
      <c r="J411" s="113"/>
      <c r="K411" s="114"/>
      <c r="L411" s="100">
        <f t="shared" si="14"/>
        <v>76.44804088586031</v>
      </c>
    </row>
    <row r="412" spans="1:12" ht="30" customHeight="1">
      <c r="A412" s="28">
        <v>399</v>
      </c>
      <c r="B412" s="34" t="s">
        <v>245</v>
      </c>
      <c r="C412" s="30">
        <v>901</v>
      </c>
      <c r="D412" s="39">
        <v>1006</v>
      </c>
      <c r="E412" s="38" t="s">
        <v>214</v>
      </c>
      <c r="F412" s="38" t="s">
        <v>67</v>
      </c>
      <c r="G412" s="115">
        <v>781</v>
      </c>
      <c r="H412" s="100">
        <v>781</v>
      </c>
      <c r="I412" s="115">
        <v>302.3</v>
      </c>
      <c r="J412" s="113"/>
      <c r="K412" s="114"/>
      <c r="L412" s="100">
        <f t="shared" si="14"/>
        <v>38.706786171574905</v>
      </c>
    </row>
    <row r="413" spans="1:12" ht="15.75" customHeight="1">
      <c r="A413" s="28">
        <v>400</v>
      </c>
      <c r="B413" s="19" t="s">
        <v>30</v>
      </c>
      <c r="C413" s="28">
        <v>901</v>
      </c>
      <c r="D413" s="36">
        <v>1100</v>
      </c>
      <c r="E413" s="62"/>
      <c r="F413" s="65"/>
      <c r="G413" s="98">
        <f aca="true" t="shared" si="15" ref="G413:I414">SUM(G414)</f>
        <v>8731</v>
      </c>
      <c r="H413" s="110">
        <f t="shared" si="15"/>
        <v>9775.87218</v>
      </c>
      <c r="I413" s="98">
        <f t="shared" si="15"/>
        <v>9703.7</v>
      </c>
      <c r="J413" s="113"/>
      <c r="K413" s="114"/>
      <c r="L413" s="110">
        <f>SUM(L414)</f>
        <v>99.26173155017663</v>
      </c>
    </row>
    <row r="414" spans="1:12" ht="21.75" customHeight="1">
      <c r="A414" s="28">
        <v>401</v>
      </c>
      <c r="B414" s="19" t="s">
        <v>227</v>
      </c>
      <c r="C414" s="28">
        <v>901</v>
      </c>
      <c r="D414" s="36">
        <v>1102</v>
      </c>
      <c r="E414" s="62"/>
      <c r="F414" s="65"/>
      <c r="G414" s="98">
        <f t="shared" si="15"/>
        <v>8731</v>
      </c>
      <c r="H414" s="110">
        <f t="shared" si="15"/>
        <v>9775.87218</v>
      </c>
      <c r="I414" s="98">
        <f t="shared" si="15"/>
        <v>9703.7</v>
      </c>
      <c r="J414" s="113"/>
      <c r="K414" s="114"/>
      <c r="L414" s="110">
        <f>SUM(L415)</f>
        <v>99.26173155017663</v>
      </c>
    </row>
    <row r="415" spans="1:12" ht="44.25" customHeight="1">
      <c r="A415" s="28">
        <v>402</v>
      </c>
      <c r="B415" s="19" t="s">
        <v>423</v>
      </c>
      <c r="C415" s="28">
        <v>901</v>
      </c>
      <c r="D415" s="36">
        <v>1102</v>
      </c>
      <c r="E415" s="37" t="s">
        <v>159</v>
      </c>
      <c r="F415" s="38"/>
      <c r="G415" s="99">
        <f>SUM(G416+G418+G423+G425)</f>
        <v>8731</v>
      </c>
      <c r="H415" s="110">
        <f>SUM(H416+H418+H423+H425)</f>
        <v>9775.87218</v>
      </c>
      <c r="I415" s="99">
        <f>SUM(I416+I418+I423+I425)</f>
        <v>9703.7</v>
      </c>
      <c r="J415" s="113"/>
      <c r="K415" s="114"/>
      <c r="L415" s="110">
        <f>I415/H415*100</f>
        <v>99.26173155017663</v>
      </c>
    </row>
    <row r="416" spans="1:12" ht="29.25" customHeight="1">
      <c r="A416" s="28">
        <v>403</v>
      </c>
      <c r="B416" s="19" t="s">
        <v>130</v>
      </c>
      <c r="C416" s="28">
        <v>901</v>
      </c>
      <c r="D416" s="36">
        <v>1102</v>
      </c>
      <c r="E416" s="37" t="s">
        <v>225</v>
      </c>
      <c r="F416" s="38"/>
      <c r="G416" s="99">
        <f>SUM(G417)</f>
        <v>70</v>
      </c>
      <c r="H416" s="110">
        <f>H417</f>
        <v>110</v>
      </c>
      <c r="I416" s="99">
        <f>SUM(I417)</f>
        <v>70.2</v>
      </c>
      <c r="J416" s="113"/>
      <c r="K416" s="114"/>
      <c r="L416" s="110">
        <f>L417</f>
        <v>63.81818181818182</v>
      </c>
    </row>
    <row r="417" spans="1:12" ht="28.5" customHeight="1">
      <c r="A417" s="28">
        <v>404</v>
      </c>
      <c r="B417" s="34" t="s">
        <v>245</v>
      </c>
      <c r="C417" s="30">
        <v>901</v>
      </c>
      <c r="D417" s="39">
        <v>1102</v>
      </c>
      <c r="E417" s="38" t="s">
        <v>225</v>
      </c>
      <c r="F417" s="38" t="s">
        <v>67</v>
      </c>
      <c r="G417" s="115">
        <v>70</v>
      </c>
      <c r="H417" s="100">
        <f>70+40</f>
        <v>110</v>
      </c>
      <c r="I417" s="115">
        <v>70.2</v>
      </c>
      <c r="J417" s="113"/>
      <c r="K417" s="114"/>
      <c r="L417" s="100">
        <f aca="true" t="shared" si="16" ref="L417:L422">I417/H417*100</f>
        <v>63.81818181818182</v>
      </c>
    </row>
    <row r="418" spans="1:12" ht="27">
      <c r="A418" s="28">
        <v>405</v>
      </c>
      <c r="B418" s="19" t="s">
        <v>117</v>
      </c>
      <c r="C418" s="28">
        <v>901</v>
      </c>
      <c r="D418" s="36">
        <v>1102</v>
      </c>
      <c r="E418" s="37" t="s">
        <v>226</v>
      </c>
      <c r="F418" s="38"/>
      <c r="G418" s="99">
        <f>SUM(G419:G422)</f>
        <v>8661</v>
      </c>
      <c r="H418" s="110">
        <f>SUM(H419:H422)</f>
        <v>9552.85218</v>
      </c>
      <c r="I418" s="99">
        <f>SUM(I419:I422)</f>
        <v>9520.5</v>
      </c>
      <c r="J418" s="113"/>
      <c r="K418" s="114"/>
      <c r="L418" s="110">
        <f t="shared" si="16"/>
        <v>99.66133486219191</v>
      </c>
    </row>
    <row r="419" spans="1:12" ht="13.5">
      <c r="A419" s="28">
        <v>406</v>
      </c>
      <c r="B419" s="34" t="s">
        <v>73</v>
      </c>
      <c r="C419" s="30">
        <v>901</v>
      </c>
      <c r="D419" s="39">
        <v>1102</v>
      </c>
      <c r="E419" s="38" t="s">
        <v>226</v>
      </c>
      <c r="F419" s="38" t="s">
        <v>37</v>
      </c>
      <c r="G419" s="115">
        <v>3941.6</v>
      </c>
      <c r="H419" s="100">
        <f>3941.627+29.573+110+792.058-9.724-23.96+34.013</f>
        <v>4873.5869999999995</v>
      </c>
      <c r="I419" s="115">
        <v>4873.6</v>
      </c>
      <c r="J419" s="113"/>
      <c r="K419" s="114"/>
      <c r="L419" s="100">
        <f t="shared" si="16"/>
        <v>100.0002667439814</v>
      </c>
    </row>
    <row r="420" spans="1:12" ht="27">
      <c r="A420" s="28">
        <v>407</v>
      </c>
      <c r="B420" s="34" t="s">
        <v>118</v>
      </c>
      <c r="C420" s="30">
        <v>901</v>
      </c>
      <c r="D420" s="39">
        <v>1102</v>
      </c>
      <c r="E420" s="38" t="s">
        <v>226</v>
      </c>
      <c r="F420" s="38" t="s">
        <v>67</v>
      </c>
      <c r="G420" s="115">
        <v>4694.4</v>
      </c>
      <c r="H420" s="100">
        <f>4694.373-29.573-347.849-75.895-0.32882-2.85</f>
        <v>4237.877179999999</v>
      </c>
      <c r="I420" s="115">
        <v>4205.5</v>
      </c>
      <c r="J420" s="113"/>
      <c r="K420" s="114"/>
      <c r="L420" s="100">
        <f t="shared" si="16"/>
        <v>99.23600475840126</v>
      </c>
    </row>
    <row r="421" spans="1:12" ht="13.5">
      <c r="A421" s="28">
        <v>408</v>
      </c>
      <c r="B421" s="34" t="s">
        <v>350</v>
      </c>
      <c r="C421" s="30">
        <v>901</v>
      </c>
      <c r="D421" s="39">
        <v>1102</v>
      </c>
      <c r="E421" s="38" t="s">
        <v>226</v>
      </c>
      <c r="F421" s="38" t="s">
        <v>352</v>
      </c>
      <c r="G421" s="115">
        <v>0</v>
      </c>
      <c r="H421" s="100">
        <v>413.956</v>
      </c>
      <c r="I421" s="115">
        <v>414</v>
      </c>
      <c r="J421" s="113"/>
      <c r="K421" s="114"/>
      <c r="L421" s="100">
        <f t="shared" si="16"/>
        <v>100.01062914899168</v>
      </c>
    </row>
    <row r="422" spans="1:12" ht="17.25" customHeight="1">
      <c r="A422" s="28">
        <v>409</v>
      </c>
      <c r="B422" s="34" t="s">
        <v>237</v>
      </c>
      <c r="C422" s="30">
        <v>901</v>
      </c>
      <c r="D422" s="39">
        <v>1102</v>
      </c>
      <c r="E422" s="38" t="s">
        <v>226</v>
      </c>
      <c r="F422" s="38" t="s">
        <v>238</v>
      </c>
      <c r="G422" s="115">
        <v>25</v>
      </c>
      <c r="H422" s="100">
        <f>25-4+7.047-3.465+2.85</f>
        <v>27.432000000000002</v>
      </c>
      <c r="I422" s="115">
        <v>27.4</v>
      </c>
      <c r="J422" s="113"/>
      <c r="K422" s="114"/>
      <c r="L422" s="100">
        <f t="shared" si="16"/>
        <v>99.88334791484397</v>
      </c>
    </row>
    <row r="423" spans="1:12" ht="27" customHeight="1">
      <c r="A423" s="28">
        <v>410</v>
      </c>
      <c r="B423" s="60" t="s">
        <v>441</v>
      </c>
      <c r="C423" s="44">
        <v>901</v>
      </c>
      <c r="D423" s="46">
        <v>1102</v>
      </c>
      <c r="E423" s="47" t="s">
        <v>442</v>
      </c>
      <c r="F423" s="47"/>
      <c r="G423" s="117">
        <v>0</v>
      </c>
      <c r="H423" s="118">
        <f>SUM(H424)</f>
        <v>76.52</v>
      </c>
      <c r="I423" s="117">
        <f>SUM(I424)</f>
        <v>76.5</v>
      </c>
      <c r="J423" s="119"/>
      <c r="K423" s="119"/>
      <c r="L423" s="118">
        <f>SUM(L424)</f>
        <v>99.97386304234188</v>
      </c>
    </row>
    <row r="424" spans="1:12" ht="32.25" customHeight="1">
      <c r="A424" s="28">
        <v>411</v>
      </c>
      <c r="B424" s="48" t="s">
        <v>118</v>
      </c>
      <c r="C424" s="49">
        <v>901</v>
      </c>
      <c r="D424" s="50">
        <v>1102</v>
      </c>
      <c r="E424" s="42" t="s">
        <v>442</v>
      </c>
      <c r="F424" s="42" t="s">
        <v>67</v>
      </c>
      <c r="G424" s="116">
        <v>0</v>
      </c>
      <c r="H424" s="100">
        <v>76.52</v>
      </c>
      <c r="I424" s="116">
        <v>76.5</v>
      </c>
      <c r="J424" s="120"/>
      <c r="K424" s="120"/>
      <c r="L424" s="100">
        <f>I424/H424*100</f>
        <v>99.97386304234188</v>
      </c>
    </row>
    <row r="425" spans="1:12" ht="33" customHeight="1">
      <c r="A425" s="28">
        <v>412</v>
      </c>
      <c r="B425" s="19" t="s">
        <v>371</v>
      </c>
      <c r="C425" s="28">
        <v>901</v>
      </c>
      <c r="D425" s="36">
        <v>1102</v>
      </c>
      <c r="E425" s="37" t="s">
        <v>373</v>
      </c>
      <c r="F425" s="37"/>
      <c r="G425" s="99">
        <v>0</v>
      </c>
      <c r="H425" s="118">
        <f>SUM(H426)</f>
        <v>36.5</v>
      </c>
      <c r="I425" s="99">
        <f>SUM(I426)</f>
        <v>36.5</v>
      </c>
      <c r="J425" s="111"/>
      <c r="K425" s="112"/>
      <c r="L425" s="118">
        <f>SUM(L426)</f>
        <v>100</v>
      </c>
    </row>
    <row r="426" spans="1:12" ht="21" customHeight="1">
      <c r="A426" s="28">
        <v>413</v>
      </c>
      <c r="B426" s="34" t="s">
        <v>73</v>
      </c>
      <c r="C426" s="30">
        <v>901</v>
      </c>
      <c r="D426" s="39">
        <v>1102</v>
      </c>
      <c r="E426" s="38" t="s">
        <v>373</v>
      </c>
      <c r="F426" s="38" t="s">
        <v>37</v>
      </c>
      <c r="G426" s="115">
        <v>0</v>
      </c>
      <c r="H426" s="100">
        <v>36.5</v>
      </c>
      <c r="I426" s="115">
        <v>36.5</v>
      </c>
      <c r="J426" s="113"/>
      <c r="K426" s="114"/>
      <c r="L426" s="100">
        <f>I426/H426*100</f>
        <v>100</v>
      </c>
    </row>
    <row r="427" spans="1:12" ht="13.5">
      <c r="A427" s="28">
        <v>414</v>
      </c>
      <c r="B427" s="19" t="s">
        <v>51</v>
      </c>
      <c r="C427" s="28">
        <v>901</v>
      </c>
      <c r="D427" s="36">
        <v>1200</v>
      </c>
      <c r="E427" s="37"/>
      <c r="F427" s="38"/>
      <c r="G427" s="99">
        <f>SUM(G429)</f>
        <v>353</v>
      </c>
      <c r="H427" s="118">
        <f>SUM(H428)</f>
        <v>375.609</v>
      </c>
      <c r="I427" s="99">
        <f>SUM(I428)</f>
        <v>352.6</v>
      </c>
      <c r="J427" s="113"/>
      <c r="K427" s="114"/>
      <c r="L427" s="118">
        <f>SUM(L428)</f>
        <v>93.87421494160152</v>
      </c>
    </row>
    <row r="428" spans="1:12" ht="17.25" customHeight="1">
      <c r="A428" s="28">
        <v>415</v>
      </c>
      <c r="B428" s="19" t="s">
        <v>52</v>
      </c>
      <c r="C428" s="28">
        <v>901</v>
      </c>
      <c r="D428" s="36">
        <v>1202</v>
      </c>
      <c r="E428" s="37"/>
      <c r="F428" s="38"/>
      <c r="G428" s="99">
        <f>SUM(G429)</f>
        <v>353</v>
      </c>
      <c r="H428" s="118">
        <f>SUM(H429)</f>
        <v>375.609</v>
      </c>
      <c r="I428" s="99">
        <f>SUM(I429)</f>
        <v>352.6</v>
      </c>
      <c r="J428" s="113"/>
      <c r="K428" s="114"/>
      <c r="L428" s="118">
        <f>SUM(L429)</f>
        <v>93.87421494160152</v>
      </c>
    </row>
    <row r="429" spans="1:12" ht="41.25" customHeight="1">
      <c r="A429" s="28">
        <v>416</v>
      </c>
      <c r="B429" s="19" t="s">
        <v>417</v>
      </c>
      <c r="C429" s="28">
        <v>901</v>
      </c>
      <c r="D429" s="36">
        <v>1202</v>
      </c>
      <c r="E429" s="37" t="s">
        <v>151</v>
      </c>
      <c r="F429" s="38"/>
      <c r="G429" s="99">
        <f>SUM(G430)</f>
        <v>353</v>
      </c>
      <c r="H429" s="118">
        <f>H430</f>
        <v>375.609</v>
      </c>
      <c r="I429" s="99">
        <f>SUM(I430)</f>
        <v>352.6</v>
      </c>
      <c r="J429" s="113"/>
      <c r="K429" s="114"/>
      <c r="L429" s="118">
        <f>L430</f>
        <v>93.87421494160152</v>
      </c>
    </row>
    <row r="430" spans="1:12" ht="31.5" customHeight="1">
      <c r="A430" s="28">
        <v>417</v>
      </c>
      <c r="B430" s="19" t="s">
        <v>119</v>
      </c>
      <c r="C430" s="28">
        <v>901</v>
      </c>
      <c r="D430" s="36">
        <v>1202</v>
      </c>
      <c r="E430" s="37" t="s">
        <v>218</v>
      </c>
      <c r="F430" s="38"/>
      <c r="G430" s="99">
        <f>SUM(G431)</f>
        <v>353</v>
      </c>
      <c r="H430" s="118">
        <f>SUM(H431)</f>
        <v>375.609</v>
      </c>
      <c r="I430" s="99">
        <f>SUM(I431)</f>
        <v>352.6</v>
      </c>
      <c r="J430" s="113"/>
      <c r="K430" s="114"/>
      <c r="L430" s="118">
        <f>SUM(L431)</f>
        <v>93.87421494160152</v>
      </c>
    </row>
    <row r="431" spans="1:12" ht="21" customHeight="1">
      <c r="A431" s="28">
        <v>418</v>
      </c>
      <c r="B431" s="34" t="s">
        <v>271</v>
      </c>
      <c r="C431" s="30">
        <v>901</v>
      </c>
      <c r="D431" s="39">
        <v>1202</v>
      </c>
      <c r="E431" s="38" t="s">
        <v>218</v>
      </c>
      <c r="F431" s="38" t="s">
        <v>272</v>
      </c>
      <c r="G431" s="115">
        <v>353</v>
      </c>
      <c r="H431" s="100">
        <f>353+22.609</f>
        <v>375.609</v>
      </c>
      <c r="I431" s="115">
        <v>352.6</v>
      </c>
      <c r="J431" s="113"/>
      <c r="K431" s="114"/>
      <c r="L431" s="100">
        <f>I431/H431*100</f>
        <v>93.87421494160152</v>
      </c>
    </row>
    <row r="432" spans="1:12" ht="22.5" customHeight="1">
      <c r="A432" s="28">
        <v>419</v>
      </c>
      <c r="B432" s="19" t="s">
        <v>5</v>
      </c>
      <c r="C432" s="28">
        <v>901</v>
      </c>
      <c r="D432" s="36">
        <v>1300</v>
      </c>
      <c r="E432" s="37"/>
      <c r="F432" s="38"/>
      <c r="G432" s="99">
        <f aca="true" t="shared" si="17" ref="G432:I434">SUM(G433)</f>
        <v>0.7</v>
      </c>
      <c r="H432" s="118">
        <f t="shared" si="17"/>
        <v>0.65</v>
      </c>
      <c r="I432" s="99">
        <f t="shared" si="17"/>
        <v>0.3</v>
      </c>
      <c r="J432" s="113"/>
      <c r="K432" s="114"/>
      <c r="L432" s="118">
        <f>SUM(L433)</f>
        <v>42.9</v>
      </c>
    </row>
    <row r="433" spans="1:12" ht="29.25" customHeight="1">
      <c r="A433" s="28">
        <v>420</v>
      </c>
      <c r="B433" s="19" t="s">
        <v>228</v>
      </c>
      <c r="C433" s="28">
        <v>901</v>
      </c>
      <c r="D433" s="36">
        <v>1301</v>
      </c>
      <c r="E433" s="37"/>
      <c r="F433" s="38"/>
      <c r="G433" s="99">
        <f t="shared" si="17"/>
        <v>0.7</v>
      </c>
      <c r="H433" s="118">
        <f t="shared" si="17"/>
        <v>0.65</v>
      </c>
      <c r="I433" s="99">
        <f t="shared" si="17"/>
        <v>0.3</v>
      </c>
      <c r="J433" s="113"/>
      <c r="K433" s="114"/>
      <c r="L433" s="118">
        <f>SUM(L434)</f>
        <v>42.9</v>
      </c>
    </row>
    <row r="434" spans="1:12" ht="39" customHeight="1">
      <c r="A434" s="28">
        <v>421</v>
      </c>
      <c r="B434" s="19" t="s">
        <v>417</v>
      </c>
      <c r="C434" s="28">
        <v>901</v>
      </c>
      <c r="D434" s="36">
        <v>1301</v>
      </c>
      <c r="E434" s="37" t="s">
        <v>151</v>
      </c>
      <c r="F434" s="38"/>
      <c r="G434" s="99">
        <f t="shared" si="17"/>
        <v>0.7</v>
      </c>
      <c r="H434" s="110">
        <f t="shared" si="17"/>
        <v>0.65</v>
      </c>
      <c r="I434" s="99">
        <f t="shared" si="17"/>
        <v>0.3</v>
      </c>
      <c r="J434" s="113"/>
      <c r="K434" s="114"/>
      <c r="L434" s="110">
        <f>SUM(L435)</f>
        <v>42.9</v>
      </c>
    </row>
    <row r="435" spans="1:12" ht="27" customHeight="1">
      <c r="A435" s="28">
        <v>422</v>
      </c>
      <c r="B435" s="19" t="s">
        <v>121</v>
      </c>
      <c r="C435" s="28">
        <v>901</v>
      </c>
      <c r="D435" s="36">
        <v>1301</v>
      </c>
      <c r="E435" s="37" t="s">
        <v>219</v>
      </c>
      <c r="F435" s="38"/>
      <c r="G435" s="99">
        <f>SUM(G436)</f>
        <v>0.7</v>
      </c>
      <c r="H435" s="110">
        <f>H436</f>
        <v>0.65</v>
      </c>
      <c r="I435" s="99">
        <f>SUM(I436)</f>
        <v>0.3</v>
      </c>
      <c r="J435" s="113"/>
      <c r="K435" s="114"/>
      <c r="L435" s="110">
        <f>L436</f>
        <v>42.9</v>
      </c>
    </row>
    <row r="436" spans="1:12" ht="20.25" customHeight="1">
      <c r="A436" s="28">
        <v>423</v>
      </c>
      <c r="B436" s="34" t="s">
        <v>339</v>
      </c>
      <c r="C436" s="30">
        <v>901</v>
      </c>
      <c r="D436" s="39">
        <v>1301</v>
      </c>
      <c r="E436" s="38" t="s">
        <v>219</v>
      </c>
      <c r="F436" s="38" t="s">
        <v>133</v>
      </c>
      <c r="G436" s="115">
        <v>0.7</v>
      </c>
      <c r="H436" s="100">
        <v>0.65</v>
      </c>
      <c r="I436" s="115">
        <v>0.3</v>
      </c>
      <c r="J436" s="113"/>
      <c r="K436" s="114"/>
      <c r="L436" s="100">
        <v>42.9</v>
      </c>
    </row>
    <row r="437" spans="1:12" ht="21" customHeight="1">
      <c r="A437" s="28">
        <v>424</v>
      </c>
      <c r="B437" s="29" t="s">
        <v>137</v>
      </c>
      <c r="C437" s="28">
        <v>912</v>
      </c>
      <c r="D437" s="36"/>
      <c r="E437" s="37"/>
      <c r="F437" s="37"/>
      <c r="G437" s="99">
        <f>SUM(G438+G444)</f>
        <v>1494.3000000000002</v>
      </c>
      <c r="H437" s="127">
        <f>SUM(H438+H444)</f>
        <v>1445.386</v>
      </c>
      <c r="I437" s="99">
        <f>SUM(I438+I444)</f>
        <v>1445.4</v>
      </c>
      <c r="J437" s="113"/>
      <c r="K437" s="114"/>
      <c r="L437" s="127">
        <f>I437/H437*100</f>
        <v>100.00096859939146</v>
      </c>
    </row>
    <row r="438" spans="1:12" ht="40.5">
      <c r="A438" s="28">
        <v>425</v>
      </c>
      <c r="B438" s="19" t="s">
        <v>139</v>
      </c>
      <c r="C438" s="28">
        <v>912</v>
      </c>
      <c r="D438" s="36">
        <v>103</v>
      </c>
      <c r="E438" s="37"/>
      <c r="F438" s="37"/>
      <c r="G438" s="99">
        <f>SUM(G439)</f>
        <v>1394.3000000000002</v>
      </c>
      <c r="H438" s="110">
        <f>SUM(H440+H442)</f>
        <v>1300.386</v>
      </c>
      <c r="I438" s="99">
        <f>SUM(I439)</f>
        <v>1300.4</v>
      </c>
      <c r="J438" s="113"/>
      <c r="K438" s="114"/>
      <c r="L438" s="110">
        <f>I438/H438*100</f>
        <v>100.00107660340853</v>
      </c>
    </row>
    <row r="439" spans="1:12" ht="15.75" customHeight="1">
      <c r="A439" s="28">
        <v>426</v>
      </c>
      <c r="B439" s="19" t="s">
        <v>63</v>
      </c>
      <c r="C439" s="28">
        <v>912</v>
      </c>
      <c r="D439" s="64">
        <v>103</v>
      </c>
      <c r="E439" s="83" t="s">
        <v>143</v>
      </c>
      <c r="F439" s="65"/>
      <c r="G439" s="98">
        <f>SUM(G440+G442)</f>
        <v>1394.3000000000002</v>
      </c>
      <c r="H439" s="110">
        <f>SUM(H440+H442)</f>
        <v>1300.386</v>
      </c>
      <c r="I439" s="98">
        <f>SUM(I440+I442)</f>
        <v>1300.4</v>
      </c>
      <c r="J439" s="113"/>
      <c r="K439" s="114"/>
      <c r="L439" s="110">
        <f>I439/H439*100</f>
        <v>100.00107660340853</v>
      </c>
    </row>
    <row r="440" spans="1:12" ht="26.25" customHeight="1">
      <c r="A440" s="28">
        <v>427</v>
      </c>
      <c r="B440" s="19" t="s">
        <v>220</v>
      </c>
      <c r="C440" s="28">
        <v>912</v>
      </c>
      <c r="D440" s="64">
        <v>103</v>
      </c>
      <c r="E440" s="83" t="s">
        <v>141</v>
      </c>
      <c r="F440" s="62"/>
      <c r="G440" s="98">
        <f>SUM(G441)</f>
        <v>645.6</v>
      </c>
      <c r="H440" s="110">
        <f>SUM(H441)</f>
        <v>701.6750000000001</v>
      </c>
      <c r="I440" s="98">
        <f>SUM(I441)</f>
        <v>701.7</v>
      </c>
      <c r="J440" s="111"/>
      <c r="K440" s="112"/>
      <c r="L440" s="110">
        <f>SUM(L441)</f>
        <v>100.0035629030534</v>
      </c>
    </row>
    <row r="441" spans="1:12" ht="13.5">
      <c r="A441" s="28">
        <v>428</v>
      </c>
      <c r="B441" s="34" t="s">
        <v>66</v>
      </c>
      <c r="C441" s="30">
        <v>912</v>
      </c>
      <c r="D441" s="71">
        <v>103</v>
      </c>
      <c r="E441" s="84" t="s">
        <v>141</v>
      </c>
      <c r="F441" s="65" t="s">
        <v>43</v>
      </c>
      <c r="G441" s="101">
        <v>645.6</v>
      </c>
      <c r="H441" s="100">
        <f>645.6+72.898-16.823</f>
        <v>701.6750000000001</v>
      </c>
      <c r="I441" s="101">
        <v>701.7</v>
      </c>
      <c r="J441" s="113"/>
      <c r="K441" s="114"/>
      <c r="L441" s="100">
        <f>I441/H441*100</f>
        <v>100.0035629030534</v>
      </c>
    </row>
    <row r="442" spans="1:12" ht="27">
      <c r="A442" s="28">
        <v>429</v>
      </c>
      <c r="B442" s="19" t="s">
        <v>64</v>
      </c>
      <c r="C442" s="28">
        <v>912</v>
      </c>
      <c r="D442" s="64">
        <v>103</v>
      </c>
      <c r="E442" s="83" t="s">
        <v>142</v>
      </c>
      <c r="F442" s="65"/>
      <c r="G442" s="98">
        <f>SUM(G443)</f>
        <v>748.7</v>
      </c>
      <c r="H442" s="110">
        <f>H443</f>
        <v>598.711</v>
      </c>
      <c r="I442" s="98">
        <f>SUM(I443)</f>
        <v>598.7</v>
      </c>
      <c r="J442" s="113"/>
      <c r="K442" s="114"/>
      <c r="L442" s="110">
        <f>L443</f>
        <v>99.99816271957589</v>
      </c>
    </row>
    <row r="443" spans="1:12" ht="27">
      <c r="A443" s="28">
        <v>430</v>
      </c>
      <c r="B443" s="34" t="s">
        <v>248</v>
      </c>
      <c r="C443" s="30">
        <v>912</v>
      </c>
      <c r="D443" s="71">
        <v>103</v>
      </c>
      <c r="E443" s="84" t="s">
        <v>142</v>
      </c>
      <c r="F443" s="38" t="s">
        <v>43</v>
      </c>
      <c r="G443" s="115">
        <v>748.7</v>
      </c>
      <c r="H443" s="100">
        <f>748.7-50-72.898-30.111+3.02</f>
        <v>598.711</v>
      </c>
      <c r="I443" s="115">
        <v>598.7</v>
      </c>
      <c r="J443" s="113"/>
      <c r="K443" s="114"/>
      <c r="L443" s="100">
        <f>I443/H443*100</f>
        <v>99.99816271957589</v>
      </c>
    </row>
    <row r="444" spans="1:12" ht="15.75" customHeight="1">
      <c r="A444" s="28">
        <v>431</v>
      </c>
      <c r="B444" s="19" t="s">
        <v>63</v>
      </c>
      <c r="C444" s="28">
        <v>912</v>
      </c>
      <c r="D444" s="36">
        <v>1202</v>
      </c>
      <c r="E444" s="37" t="s">
        <v>143</v>
      </c>
      <c r="F444" s="38"/>
      <c r="G444" s="99">
        <f aca="true" t="shared" si="18" ref="G444:I446">SUM(G445)</f>
        <v>100</v>
      </c>
      <c r="H444" s="127">
        <f t="shared" si="18"/>
        <v>145</v>
      </c>
      <c r="I444" s="99">
        <f t="shared" si="18"/>
        <v>145</v>
      </c>
      <c r="J444" s="113"/>
      <c r="K444" s="114"/>
      <c r="L444" s="127">
        <f>SUM(L445)</f>
        <v>100</v>
      </c>
    </row>
    <row r="445" spans="1:12" ht="24" customHeight="1">
      <c r="A445" s="28">
        <v>432</v>
      </c>
      <c r="B445" s="19" t="s">
        <v>52</v>
      </c>
      <c r="C445" s="28">
        <v>912</v>
      </c>
      <c r="D445" s="36">
        <v>1202</v>
      </c>
      <c r="E445" s="37" t="s">
        <v>230</v>
      </c>
      <c r="F445" s="38"/>
      <c r="G445" s="99">
        <f t="shared" si="18"/>
        <v>100</v>
      </c>
      <c r="H445" s="127">
        <f t="shared" si="18"/>
        <v>145</v>
      </c>
      <c r="I445" s="99">
        <f t="shared" si="18"/>
        <v>145</v>
      </c>
      <c r="J445" s="113"/>
      <c r="K445" s="114"/>
      <c r="L445" s="127">
        <f>SUM(L446)</f>
        <v>100</v>
      </c>
    </row>
    <row r="446" spans="1:12" ht="27">
      <c r="A446" s="28">
        <v>433</v>
      </c>
      <c r="B446" s="19" t="s">
        <v>120</v>
      </c>
      <c r="C446" s="28">
        <v>912</v>
      </c>
      <c r="D446" s="36">
        <v>1202</v>
      </c>
      <c r="E446" s="37" t="s">
        <v>231</v>
      </c>
      <c r="F446" s="38"/>
      <c r="G446" s="99">
        <f t="shared" si="18"/>
        <v>100</v>
      </c>
      <c r="H446" s="127">
        <f t="shared" si="18"/>
        <v>145</v>
      </c>
      <c r="I446" s="99">
        <f t="shared" si="18"/>
        <v>145</v>
      </c>
      <c r="J446" s="113"/>
      <c r="K446" s="114"/>
      <c r="L446" s="127">
        <f>SUM(L447)</f>
        <v>100</v>
      </c>
    </row>
    <row r="447" spans="1:12" ht="23.25" customHeight="1">
      <c r="A447" s="28">
        <v>434</v>
      </c>
      <c r="B447" s="34" t="s">
        <v>271</v>
      </c>
      <c r="C447" s="30">
        <v>912</v>
      </c>
      <c r="D447" s="39">
        <v>1202</v>
      </c>
      <c r="E447" s="38" t="s">
        <v>231</v>
      </c>
      <c r="F447" s="38" t="s">
        <v>272</v>
      </c>
      <c r="G447" s="115">
        <v>100</v>
      </c>
      <c r="H447" s="128">
        <f>100+45</f>
        <v>145</v>
      </c>
      <c r="I447" s="115">
        <v>145</v>
      </c>
      <c r="J447" s="113"/>
      <c r="K447" s="114"/>
      <c r="L447" s="128">
        <f>I447/H447*100</f>
        <v>100</v>
      </c>
    </row>
    <row r="448" spans="1:12" ht="27">
      <c r="A448" s="28">
        <v>435</v>
      </c>
      <c r="B448" s="29" t="s">
        <v>53</v>
      </c>
      <c r="C448" s="52">
        <v>913</v>
      </c>
      <c r="D448" s="28"/>
      <c r="E448" s="28"/>
      <c r="F448" s="30"/>
      <c r="G448" s="98">
        <f>SUM(G449+G455)</f>
        <v>1283.1999999999998</v>
      </c>
      <c r="H448" s="99">
        <f>SUM(H449+H455)</f>
        <v>1031.1589999999999</v>
      </c>
      <c r="I448" s="98">
        <f>SUM(I449+I455)</f>
        <v>1031.2</v>
      </c>
      <c r="J448" s="100"/>
      <c r="K448" s="101"/>
      <c r="L448" s="99">
        <f>L449</f>
        <v>100.00400719731735</v>
      </c>
    </row>
    <row r="449" spans="1:12" ht="39" customHeight="1">
      <c r="A449" s="28">
        <v>436</v>
      </c>
      <c r="B449" s="19" t="s">
        <v>459</v>
      </c>
      <c r="C449" s="28">
        <v>913</v>
      </c>
      <c r="D449" s="85">
        <v>106</v>
      </c>
      <c r="E449" s="28"/>
      <c r="F449" s="30"/>
      <c r="G449" s="98">
        <f>SUM(G450)</f>
        <v>1283.1999999999998</v>
      </c>
      <c r="H449" s="99">
        <f>SUM(H450)</f>
        <v>1023.1589999999999</v>
      </c>
      <c r="I449" s="98">
        <f>SUM(I450)</f>
        <v>1023.2</v>
      </c>
      <c r="J449" s="104"/>
      <c r="K449" s="105"/>
      <c r="L449" s="99">
        <f>I449/H449*100</f>
        <v>100.00400719731735</v>
      </c>
    </row>
    <row r="450" spans="1:12" ht="19.5" customHeight="1">
      <c r="A450" s="28">
        <v>437</v>
      </c>
      <c r="B450" s="19" t="s">
        <v>63</v>
      </c>
      <c r="C450" s="28">
        <v>913</v>
      </c>
      <c r="D450" s="36">
        <v>106</v>
      </c>
      <c r="E450" s="37" t="s">
        <v>143</v>
      </c>
      <c r="F450" s="38"/>
      <c r="G450" s="99">
        <f>SUM(G451+G453)</f>
        <v>1283.1999999999998</v>
      </c>
      <c r="H450" s="110">
        <f>SUM(H451+H453)</f>
        <v>1023.1589999999999</v>
      </c>
      <c r="I450" s="99">
        <f>SUM(I451+I453)</f>
        <v>1023.2</v>
      </c>
      <c r="J450" s="113"/>
      <c r="K450" s="114"/>
      <c r="L450" s="110">
        <f>I450/H450*100</f>
        <v>100.00400719731735</v>
      </c>
    </row>
    <row r="451" spans="1:12" ht="27">
      <c r="A451" s="28">
        <v>438</v>
      </c>
      <c r="B451" s="19" t="s">
        <v>64</v>
      </c>
      <c r="C451" s="28">
        <v>913</v>
      </c>
      <c r="D451" s="36">
        <v>106</v>
      </c>
      <c r="E451" s="37" t="s">
        <v>142</v>
      </c>
      <c r="F451" s="38"/>
      <c r="G451" s="99">
        <f>SUM(G452)</f>
        <v>741.4</v>
      </c>
      <c r="H451" s="110">
        <f>SUM(H452)</f>
        <v>440.00199999999995</v>
      </c>
      <c r="I451" s="99">
        <f>SUM(I452)</f>
        <v>440</v>
      </c>
      <c r="J451" s="113"/>
      <c r="K451" s="114"/>
      <c r="L451" s="110">
        <f>SUM(L452)</f>
        <v>99.99954545661157</v>
      </c>
    </row>
    <row r="452" spans="1:12" ht="27">
      <c r="A452" s="28">
        <v>439</v>
      </c>
      <c r="B452" s="34" t="s">
        <v>248</v>
      </c>
      <c r="C452" s="30">
        <v>913</v>
      </c>
      <c r="D452" s="39">
        <v>106</v>
      </c>
      <c r="E452" s="38" t="s">
        <v>142</v>
      </c>
      <c r="F452" s="38" t="s">
        <v>43</v>
      </c>
      <c r="G452" s="115">
        <v>741.4</v>
      </c>
      <c r="H452" s="100">
        <f>741.4-270-31.398</f>
        <v>440.00199999999995</v>
      </c>
      <c r="I452" s="115">
        <v>440</v>
      </c>
      <c r="J452" s="113"/>
      <c r="K452" s="114"/>
      <c r="L452" s="100">
        <f>I452/H452*100</f>
        <v>99.99954545661157</v>
      </c>
    </row>
    <row r="453" spans="1:12" ht="27">
      <c r="A453" s="28">
        <v>440</v>
      </c>
      <c r="B453" s="19" t="s">
        <v>27</v>
      </c>
      <c r="C453" s="28">
        <v>913</v>
      </c>
      <c r="D453" s="36">
        <v>106</v>
      </c>
      <c r="E453" s="37" t="s">
        <v>221</v>
      </c>
      <c r="F453" s="38"/>
      <c r="G453" s="99">
        <f>SUM(G454)</f>
        <v>541.8</v>
      </c>
      <c r="H453" s="110">
        <f>H454</f>
        <v>583.1569999999999</v>
      </c>
      <c r="I453" s="99">
        <f>SUM(I454)</f>
        <v>583.2</v>
      </c>
      <c r="J453" s="113"/>
      <c r="K453" s="114"/>
      <c r="L453" s="110">
        <f>L454</f>
        <v>100.00737365752279</v>
      </c>
    </row>
    <row r="454" spans="1:12" ht="27">
      <c r="A454" s="28">
        <v>441</v>
      </c>
      <c r="B454" s="34" t="s">
        <v>248</v>
      </c>
      <c r="C454" s="30">
        <v>913</v>
      </c>
      <c r="D454" s="39">
        <v>106</v>
      </c>
      <c r="E454" s="38" t="s">
        <v>221</v>
      </c>
      <c r="F454" s="38" t="s">
        <v>43</v>
      </c>
      <c r="G454" s="115">
        <v>541.8</v>
      </c>
      <c r="H454" s="100">
        <f>541.8+65-23.643</f>
        <v>583.1569999999999</v>
      </c>
      <c r="I454" s="115">
        <v>583.2</v>
      </c>
      <c r="J454" s="113"/>
      <c r="K454" s="114"/>
      <c r="L454" s="100">
        <f>I454/H454*100</f>
        <v>100.00737365752279</v>
      </c>
    </row>
    <row r="455" spans="1:12" ht="40.5" customHeight="1">
      <c r="A455" s="28">
        <v>442</v>
      </c>
      <c r="B455" s="43" t="s">
        <v>419</v>
      </c>
      <c r="C455" s="28">
        <v>913</v>
      </c>
      <c r="D455" s="85">
        <v>113</v>
      </c>
      <c r="E455" s="37" t="s">
        <v>157</v>
      </c>
      <c r="F455" s="86"/>
      <c r="G455" s="22">
        <v>0</v>
      </c>
      <c r="H455" s="110">
        <f>SUM(H456)</f>
        <v>8</v>
      </c>
      <c r="I455" s="22">
        <f>SUM(I456)</f>
        <v>8</v>
      </c>
      <c r="J455" s="111"/>
      <c r="K455" s="112"/>
      <c r="L455" s="110">
        <f>SUM(L456)</f>
        <v>100</v>
      </c>
    </row>
    <row r="456" spans="1:12" ht="42" customHeight="1">
      <c r="A456" s="28">
        <v>443</v>
      </c>
      <c r="B456" s="43" t="s">
        <v>71</v>
      </c>
      <c r="C456" s="28">
        <v>913</v>
      </c>
      <c r="D456" s="85">
        <v>113</v>
      </c>
      <c r="E456" s="37" t="s">
        <v>158</v>
      </c>
      <c r="F456" s="86"/>
      <c r="G456" s="22">
        <v>0</v>
      </c>
      <c r="H456" s="110">
        <f>SUM(H457)</f>
        <v>8</v>
      </c>
      <c r="I456" s="22">
        <f>SUM(I457)</f>
        <v>8</v>
      </c>
      <c r="J456" s="111"/>
      <c r="K456" s="112"/>
      <c r="L456" s="110">
        <f>SUM(L457)</f>
        <v>100</v>
      </c>
    </row>
    <row r="457" spans="1:12" ht="27.75" customHeight="1">
      <c r="A457" s="28">
        <v>444</v>
      </c>
      <c r="B457" s="19" t="s">
        <v>126</v>
      </c>
      <c r="C457" s="28">
        <v>913</v>
      </c>
      <c r="D457" s="85">
        <v>113</v>
      </c>
      <c r="E457" s="37" t="s">
        <v>158</v>
      </c>
      <c r="F457" s="86"/>
      <c r="G457" s="22">
        <v>0</v>
      </c>
      <c r="H457" s="110">
        <f>SUM(H458:H459)</f>
        <v>8</v>
      </c>
      <c r="I457" s="22">
        <f>SUM(I458:I459)</f>
        <v>8</v>
      </c>
      <c r="J457" s="111"/>
      <c r="K457" s="112"/>
      <c r="L457" s="110">
        <f>SUM(L458)</f>
        <v>100</v>
      </c>
    </row>
    <row r="458" spans="1:12" ht="30.75" customHeight="1">
      <c r="A458" s="28">
        <v>445</v>
      </c>
      <c r="B458" s="34" t="s">
        <v>248</v>
      </c>
      <c r="C458" s="30">
        <v>913</v>
      </c>
      <c r="D458" s="87">
        <v>113</v>
      </c>
      <c r="E458" s="38" t="s">
        <v>158</v>
      </c>
      <c r="F458" s="88" t="s">
        <v>43</v>
      </c>
      <c r="G458" s="129">
        <v>0</v>
      </c>
      <c r="H458" s="130">
        <v>3</v>
      </c>
      <c r="I458" s="129">
        <v>3</v>
      </c>
      <c r="J458" s="113"/>
      <c r="K458" s="114"/>
      <c r="L458" s="100">
        <f>I458/H458*100</f>
        <v>100</v>
      </c>
    </row>
    <row r="459" spans="1:12" ht="30.75" customHeight="1">
      <c r="A459" s="28">
        <v>446</v>
      </c>
      <c r="B459" s="34" t="s">
        <v>245</v>
      </c>
      <c r="C459" s="30">
        <v>913</v>
      </c>
      <c r="D459" s="87">
        <v>113</v>
      </c>
      <c r="E459" s="38" t="s">
        <v>158</v>
      </c>
      <c r="F459" s="88" t="s">
        <v>67</v>
      </c>
      <c r="G459" s="129">
        <v>0</v>
      </c>
      <c r="H459" s="130">
        <v>5</v>
      </c>
      <c r="I459" s="129">
        <v>5</v>
      </c>
      <c r="J459" s="113"/>
      <c r="K459" s="114"/>
      <c r="L459" s="100">
        <f>I459/H459*100</f>
        <v>100</v>
      </c>
    </row>
    <row r="460" spans="1:12" ht="27">
      <c r="A460" s="28">
        <v>447</v>
      </c>
      <c r="B460" s="29" t="s">
        <v>56</v>
      </c>
      <c r="C460" s="52">
        <v>919</v>
      </c>
      <c r="D460" s="85"/>
      <c r="E460" s="86"/>
      <c r="F460" s="89"/>
      <c r="G460" s="22">
        <f>SUM(G461+G467)</f>
        <v>2498.9</v>
      </c>
      <c r="H460" s="99">
        <f>SUM(H461+H467)</f>
        <v>2256.3584999999994</v>
      </c>
      <c r="I460" s="22">
        <f>SUM(I461+I467)</f>
        <v>2251.5999999999995</v>
      </c>
      <c r="J460" s="113"/>
      <c r="K460" s="114"/>
      <c r="L460" s="99">
        <f>I460/H460*100</f>
        <v>99.78910709446215</v>
      </c>
    </row>
    <row r="461" spans="1:12" ht="27.75" customHeight="1">
      <c r="A461" s="28">
        <v>448</v>
      </c>
      <c r="B461" s="19" t="s">
        <v>459</v>
      </c>
      <c r="C461" s="90">
        <v>919</v>
      </c>
      <c r="D461" s="85">
        <v>106</v>
      </c>
      <c r="E461" s="86"/>
      <c r="F461" s="89"/>
      <c r="G461" s="22">
        <f>SUM(G462)</f>
        <v>2410.9</v>
      </c>
      <c r="H461" s="127">
        <f>SUM(H462)</f>
        <v>2195.1984999999995</v>
      </c>
      <c r="I461" s="22">
        <f>SUM(I462)</f>
        <v>2190.3999999999996</v>
      </c>
      <c r="J461" s="113"/>
      <c r="K461" s="114"/>
      <c r="L461" s="127">
        <f>SUM(L462)</f>
        <v>99.7814092894105</v>
      </c>
    </row>
    <row r="462" spans="1:12" ht="40.5" customHeight="1">
      <c r="A462" s="28">
        <v>449</v>
      </c>
      <c r="B462" s="19" t="s">
        <v>418</v>
      </c>
      <c r="C462" s="90">
        <v>919</v>
      </c>
      <c r="D462" s="36">
        <v>106</v>
      </c>
      <c r="E462" s="37" t="s">
        <v>223</v>
      </c>
      <c r="F462" s="38"/>
      <c r="G462" s="99">
        <f>SUM(G463)</f>
        <v>2410.9</v>
      </c>
      <c r="H462" s="110">
        <f>H463</f>
        <v>2195.1984999999995</v>
      </c>
      <c r="I462" s="99">
        <f>SUM(I463)</f>
        <v>2190.3999999999996</v>
      </c>
      <c r="J462" s="113"/>
      <c r="K462" s="114"/>
      <c r="L462" s="110">
        <f>L463</f>
        <v>99.7814092894105</v>
      </c>
    </row>
    <row r="463" spans="1:12" ht="40.5">
      <c r="A463" s="28">
        <v>450</v>
      </c>
      <c r="B463" s="91" t="s">
        <v>131</v>
      </c>
      <c r="C463" s="90">
        <v>919</v>
      </c>
      <c r="D463" s="36">
        <v>106</v>
      </c>
      <c r="E463" s="37" t="s">
        <v>222</v>
      </c>
      <c r="F463" s="38"/>
      <c r="G463" s="99">
        <f>SUM(G464)</f>
        <v>2410.9</v>
      </c>
      <c r="H463" s="110">
        <f>H464</f>
        <v>2195.1984999999995</v>
      </c>
      <c r="I463" s="99">
        <f>SUM(I464)</f>
        <v>2190.3999999999996</v>
      </c>
      <c r="J463" s="113"/>
      <c r="K463" s="114"/>
      <c r="L463" s="110">
        <f>L464</f>
        <v>99.7814092894105</v>
      </c>
    </row>
    <row r="464" spans="1:12" ht="33" customHeight="1">
      <c r="A464" s="28">
        <v>451</v>
      </c>
      <c r="B464" s="19" t="s">
        <v>122</v>
      </c>
      <c r="C464" s="90">
        <v>919</v>
      </c>
      <c r="D464" s="36">
        <v>106</v>
      </c>
      <c r="E464" s="37" t="s">
        <v>224</v>
      </c>
      <c r="F464" s="38"/>
      <c r="G464" s="99">
        <f>SUM(G465:G466)</f>
        <v>2410.9</v>
      </c>
      <c r="H464" s="110">
        <f>SUM(H465:H466)</f>
        <v>2195.1984999999995</v>
      </c>
      <c r="I464" s="99">
        <f>SUM(I465:I466)</f>
        <v>2190.3999999999996</v>
      </c>
      <c r="J464" s="113"/>
      <c r="K464" s="114"/>
      <c r="L464" s="110">
        <f>I464/H464*100</f>
        <v>99.7814092894105</v>
      </c>
    </row>
    <row r="465" spans="1:12" ht="27">
      <c r="A465" s="28">
        <v>452</v>
      </c>
      <c r="B465" s="34" t="s">
        <v>248</v>
      </c>
      <c r="C465" s="92">
        <v>919</v>
      </c>
      <c r="D465" s="39">
        <v>106</v>
      </c>
      <c r="E465" s="38" t="s">
        <v>224</v>
      </c>
      <c r="F465" s="38" t="s">
        <v>43</v>
      </c>
      <c r="G465" s="115">
        <v>2278.5</v>
      </c>
      <c r="H465" s="100">
        <f>2278.49-30.318-0.2415-143.475</f>
        <v>2104.4554999999996</v>
      </c>
      <c r="I465" s="115">
        <v>2099.7</v>
      </c>
      <c r="J465" s="113"/>
      <c r="K465" s="114"/>
      <c r="L465" s="100">
        <f>I465/H465*100</f>
        <v>99.77402705830559</v>
      </c>
    </row>
    <row r="466" spans="1:12" ht="40.5">
      <c r="A466" s="28">
        <v>453</v>
      </c>
      <c r="B466" s="34" t="s">
        <v>245</v>
      </c>
      <c r="C466" s="92">
        <v>919</v>
      </c>
      <c r="D466" s="39">
        <v>106</v>
      </c>
      <c r="E466" s="38" t="s">
        <v>224</v>
      </c>
      <c r="F466" s="38" t="s">
        <v>67</v>
      </c>
      <c r="G466" s="115">
        <v>132.4</v>
      </c>
      <c r="H466" s="100">
        <f>132.44-41.697</f>
        <v>90.743</v>
      </c>
      <c r="I466" s="115">
        <v>90.7</v>
      </c>
      <c r="J466" s="113"/>
      <c r="K466" s="114"/>
      <c r="L466" s="100">
        <f>I466/H466*100</f>
        <v>99.95261342472699</v>
      </c>
    </row>
    <row r="467" spans="1:12" ht="40.5" customHeight="1">
      <c r="A467" s="28">
        <v>454</v>
      </c>
      <c r="B467" s="43" t="s">
        <v>419</v>
      </c>
      <c r="C467" s="90">
        <v>919</v>
      </c>
      <c r="D467" s="36">
        <v>113</v>
      </c>
      <c r="E467" s="37" t="s">
        <v>157</v>
      </c>
      <c r="F467" s="38"/>
      <c r="G467" s="99">
        <f>SUM(G468)</f>
        <v>88</v>
      </c>
      <c r="H467" s="110">
        <f>H468</f>
        <v>61.160000000000004</v>
      </c>
      <c r="I467" s="99">
        <f>SUM(I468)</f>
        <v>61.2</v>
      </c>
      <c r="J467" s="113"/>
      <c r="K467" s="114"/>
      <c r="L467" s="110">
        <f>L468</f>
        <v>100.06540222367562</v>
      </c>
    </row>
    <row r="468" spans="1:12" ht="42.75" customHeight="1">
      <c r="A468" s="28">
        <v>455</v>
      </c>
      <c r="B468" s="43" t="s">
        <v>71</v>
      </c>
      <c r="C468" s="90">
        <v>919</v>
      </c>
      <c r="D468" s="36">
        <v>113</v>
      </c>
      <c r="E468" s="37" t="s">
        <v>158</v>
      </c>
      <c r="F468" s="38"/>
      <c r="G468" s="99">
        <f>SUM(G469)</f>
        <v>88</v>
      </c>
      <c r="H468" s="110">
        <f>H469</f>
        <v>61.160000000000004</v>
      </c>
      <c r="I468" s="99">
        <f>SUM(I469)</f>
        <v>61.2</v>
      </c>
      <c r="J468" s="113"/>
      <c r="K468" s="114"/>
      <c r="L468" s="110">
        <f>L469</f>
        <v>100.06540222367562</v>
      </c>
    </row>
    <row r="469" spans="1:12" ht="35.25" customHeight="1">
      <c r="A469" s="28">
        <v>456</v>
      </c>
      <c r="B469" s="19" t="s">
        <v>126</v>
      </c>
      <c r="C469" s="90">
        <v>919</v>
      </c>
      <c r="D469" s="36">
        <v>113</v>
      </c>
      <c r="E469" s="37" t="s">
        <v>158</v>
      </c>
      <c r="F469" s="38"/>
      <c r="G469" s="99">
        <f>SUM(G470:G471)</f>
        <v>88</v>
      </c>
      <c r="H469" s="110">
        <f>SUM(H470:H471)</f>
        <v>61.160000000000004</v>
      </c>
      <c r="I469" s="117">
        <f>SUM(I470:I471)</f>
        <v>61.2</v>
      </c>
      <c r="J469" s="113"/>
      <c r="K469" s="114"/>
      <c r="L469" s="110">
        <f>I469/H469*100</f>
        <v>100.06540222367562</v>
      </c>
    </row>
    <row r="470" spans="1:12" ht="35.25" customHeight="1">
      <c r="A470" s="28">
        <v>457</v>
      </c>
      <c r="B470" s="34" t="s">
        <v>248</v>
      </c>
      <c r="C470" s="92">
        <v>919</v>
      </c>
      <c r="D470" s="39">
        <v>113</v>
      </c>
      <c r="E470" s="38" t="s">
        <v>158</v>
      </c>
      <c r="F470" s="38" t="s">
        <v>43</v>
      </c>
      <c r="G470" s="115">
        <v>10</v>
      </c>
      <c r="H470" s="100">
        <v>2.67</v>
      </c>
      <c r="I470" s="116">
        <v>2.7</v>
      </c>
      <c r="J470" s="113"/>
      <c r="K470" s="114"/>
      <c r="L470" s="100">
        <f>I470/H470*100</f>
        <v>101.12359550561798</v>
      </c>
    </row>
    <row r="471" spans="1:12" ht="27.75" customHeight="1">
      <c r="A471" s="28">
        <v>458</v>
      </c>
      <c r="B471" s="34" t="s">
        <v>245</v>
      </c>
      <c r="C471" s="92">
        <v>919</v>
      </c>
      <c r="D471" s="39">
        <v>113</v>
      </c>
      <c r="E471" s="38" t="s">
        <v>158</v>
      </c>
      <c r="F471" s="38" t="s">
        <v>67</v>
      </c>
      <c r="G471" s="115">
        <v>78</v>
      </c>
      <c r="H471" s="131">
        <v>58.49</v>
      </c>
      <c r="I471" s="116">
        <v>58.5</v>
      </c>
      <c r="J471" s="113"/>
      <c r="K471" s="114"/>
      <c r="L471" s="131">
        <f>I471/H471*100</f>
        <v>100.0170969396478</v>
      </c>
    </row>
    <row r="472" spans="1:12" ht="18" customHeight="1">
      <c r="A472" s="28">
        <v>459</v>
      </c>
      <c r="B472" s="19" t="s">
        <v>54</v>
      </c>
      <c r="C472" s="30"/>
      <c r="D472" s="30"/>
      <c r="E472" s="30"/>
      <c r="F472" s="30"/>
      <c r="G472" s="98">
        <f>SUM(G9+G437+G448+G460)</f>
        <v>284916.82500000007</v>
      </c>
      <c r="H472" s="99">
        <f>SUM(H9+H437+H448+H460)</f>
        <v>299394.1819</v>
      </c>
      <c r="I472" s="98">
        <f>SUM(I9+I437+I448+I460)</f>
        <v>286687.654</v>
      </c>
      <c r="J472" s="118"/>
      <c r="K472" s="98"/>
      <c r="L472" s="99">
        <f>I472/H472*100</f>
        <v>95.75592023219606</v>
      </c>
    </row>
    <row r="473" spans="1:12" ht="27.75" customHeight="1">
      <c r="A473" s="136" t="s">
        <v>138</v>
      </c>
      <c r="B473" s="137"/>
      <c r="C473" s="16"/>
      <c r="D473" s="17" t="s">
        <v>359</v>
      </c>
      <c r="E473" s="17" t="s">
        <v>360</v>
      </c>
      <c r="F473" s="17"/>
      <c r="G473" s="17"/>
      <c r="H473" s="94"/>
      <c r="I473" s="93"/>
      <c r="J473" s="95"/>
      <c r="K473" s="96"/>
      <c r="L473" s="97"/>
    </row>
    <row r="474" spans="1:12" ht="12.75" customHeight="1">
      <c r="A474" s="132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</row>
    <row r="475" spans="1:12" ht="9.75" customHeight="1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</row>
    <row r="476" spans="1:12" ht="25.5" customHeight="1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</row>
    <row r="477" ht="12.75">
      <c r="A477" s="9"/>
    </row>
    <row r="478" ht="12.75">
      <c r="A478" s="9"/>
    </row>
  </sheetData>
  <sheetProtection/>
  <autoFilter ref="A8:L476"/>
  <mergeCells count="7">
    <mergeCell ref="A474:L476"/>
    <mergeCell ref="C1:L1"/>
    <mergeCell ref="C2:L2"/>
    <mergeCell ref="C3:L3"/>
    <mergeCell ref="C4:L4"/>
    <mergeCell ref="A6:L6"/>
    <mergeCell ref="A473:B473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41" r:id="rId1"/>
  <rowBreaks count="9" manualBreakCount="9">
    <brk id="55" max="11" man="1"/>
    <brk id="115" max="11" man="1"/>
    <brk id="158" max="11" man="1"/>
    <brk id="194" max="11" man="1"/>
    <brk id="247" max="11" man="1"/>
    <brk id="289" max="11" man="1"/>
    <brk id="330" max="11" man="1"/>
    <brk id="377" max="11" man="1"/>
    <brk id="4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2019-07-24T11:45:15Z</cp:lastPrinted>
  <dcterms:created xsi:type="dcterms:W3CDTF">1996-10-08T23:32:33Z</dcterms:created>
  <dcterms:modified xsi:type="dcterms:W3CDTF">2019-07-24T11:46:36Z</dcterms:modified>
  <cp:category/>
  <cp:version/>
  <cp:contentType/>
  <cp:contentStatus/>
</cp:coreProperties>
</file>