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прилож.4!$A$8:$G$520</definedName>
    <definedName name="_xlnm.Print_Area" localSheetId="0">прилож.4!$A$1:$F$517</definedName>
  </definedNames>
  <calcPr calcId="125725"/>
</workbook>
</file>

<file path=xl/calcChain.xml><?xml version="1.0" encoding="utf-8"?>
<calcChain xmlns="http://schemas.openxmlformats.org/spreadsheetml/2006/main">
  <c r="F157" i="6"/>
  <c r="F156" s="1"/>
  <c r="F155" s="1"/>
  <c r="F338"/>
  <c r="F82"/>
  <c r="F81" s="1"/>
  <c r="F72" s="1"/>
  <c r="F123"/>
  <c r="F129"/>
  <c r="F182"/>
  <c r="F181"/>
  <c r="F170" s="1"/>
  <c r="F399"/>
  <c r="F184"/>
  <c r="F512"/>
  <c r="F275"/>
  <c r="F274" s="1"/>
  <c r="F310"/>
  <c r="F288"/>
  <c r="F509"/>
  <c r="F52"/>
  <c r="F334"/>
  <c r="F74"/>
  <c r="F125"/>
  <c r="F498"/>
  <c r="F488"/>
  <c r="F454"/>
  <c r="F442"/>
  <c r="F39"/>
  <c r="F112"/>
  <c r="F111"/>
  <c r="F31"/>
  <c r="F13"/>
  <c r="F263"/>
  <c r="F273"/>
  <c r="F458"/>
  <c r="F327"/>
  <c r="F362"/>
  <c r="F462"/>
  <c r="F457"/>
  <c r="F359"/>
  <c r="F429"/>
  <c r="F428"/>
  <c r="F424"/>
  <c r="F423"/>
  <c r="F432"/>
  <c r="F461"/>
  <c r="F476"/>
  <c r="F255"/>
  <c r="F254" s="1"/>
  <c r="F221"/>
  <c r="F98"/>
  <c r="F431"/>
  <c r="F464"/>
  <c r="F25"/>
  <c r="F104"/>
  <c r="F21"/>
  <c r="F267"/>
  <c r="F266" s="1"/>
  <c r="F57"/>
  <c r="F36"/>
  <c r="F42"/>
  <c r="F16"/>
  <c r="F140"/>
  <c r="F162"/>
  <c r="F292"/>
  <c r="F291" s="1"/>
  <c r="F400"/>
  <c r="F401"/>
  <c r="F229"/>
  <c r="F99"/>
  <c r="F138"/>
  <c r="F296"/>
  <c r="F415"/>
  <c r="F410"/>
  <c r="F407"/>
  <c r="F405"/>
  <c r="F342"/>
  <c r="F315"/>
  <c r="F70"/>
  <c r="F75"/>
  <c r="F126"/>
  <c r="F270"/>
  <c r="F426"/>
  <c r="F64"/>
  <c r="F60"/>
  <c r="F193"/>
  <c r="F251"/>
  <c r="F449"/>
  <c r="F467"/>
  <c r="F276"/>
  <c r="F329"/>
  <c r="F101"/>
  <c r="F440"/>
  <c r="F78"/>
  <c r="F300"/>
  <c r="F299" s="1"/>
  <c r="F223"/>
  <c r="F222" s="1"/>
  <c r="F244"/>
  <c r="F134"/>
  <c r="F265"/>
  <c r="F188"/>
  <c r="F187" s="1"/>
  <c r="F269"/>
  <c r="F460" l="1"/>
  <c r="F12"/>
  <c r="F349"/>
  <c r="F348" s="1"/>
  <c r="F339"/>
  <c r="F260"/>
  <c r="F259" s="1"/>
  <c r="F283"/>
  <c r="F280" s="1"/>
  <c r="F247"/>
  <c r="F246" s="1"/>
  <c r="F245" s="1"/>
  <c r="F79"/>
  <c r="F295"/>
  <c r="F294" s="1"/>
  <c r="F38"/>
  <c r="F53"/>
  <c r="F95"/>
  <c r="F253"/>
  <c r="F149"/>
  <c r="F390"/>
  <c r="F239"/>
  <c r="F211"/>
  <c r="F92"/>
  <c r="F90"/>
  <c r="F89"/>
  <c r="F144"/>
  <c r="F456"/>
  <c r="F208"/>
  <c r="F361"/>
  <c r="F360" s="1"/>
  <c r="F34"/>
  <c r="F398"/>
  <c r="F397" s="1"/>
  <c r="F106"/>
  <c r="F301"/>
  <c r="F302"/>
  <c r="F499"/>
  <c r="F335"/>
  <c r="F323"/>
  <c r="F41"/>
  <c r="F40" s="1"/>
  <c r="F65"/>
  <c r="F61"/>
  <c r="F54"/>
  <c r="F26"/>
  <c r="F33"/>
  <c r="F32" s="1"/>
  <c r="F22"/>
  <c r="F443"/>
  <c r="F127"/>
  <c r="F14"/>
  <c r="F272"/>
  <c r="F268"/>
  <c r="F236"/>
  <c r="F201"/>
  <c r="F197"/>
  <c r="F232"/>
  <c r="F231"/>
  <c r="F230" s="1"/>
  <c r="F303"/>
  <c r="F304"/>
  <c r="F76"/>
  <c r="F322"/>
  <c r="F504"/>
  <c r="F367"/>
  <c r="F183"/>
  <c r="F305"/>
  <c r="F168"/>
  <c r="F178"/>
  <c r="F172"/>
  <c r="F469"/>
  <c r="F351"/>
  <c r="F11" l="1"/>
  <c r="F279"/>
  <c r="F345"/>
  <c r="F417"/>
  <c r="F416" s="1"/>
  <c r="F142"/>
  <c r="F141" s="1"/>
  <c r="F298"/>
  <c r="F388" l="1"/>
  <c r="F199"/>
  <c r="F214"/>
  <c r="F241"/>
  <c r="F391"/>
  <c r="F185"/>
  <c r="F177"/>
  <c r="F117"/>
  <c r="F434"/>
  <c r="F436"/>
  <c r="F435" s="1"/>
  <c r="F481"/>
  <c r="F105"/>
  <c r="F173"/>
  <c r="F385"/>
  <c r="F384"/>
  <c r="F395"/>
  <c r="F167"/>
  <c r="F393"/>
  <c r="F297"/>
  <c r="F290"/>
  <c r="F372"/>
  <c r="F370"/>
  <c r="F438"/>
  <c r="F217"/>
  <c r="F483"/>
  <c r="F482" s="1"/>
  <c r="F264"/>
  <c r="F262"/>
  <c r="F278"/>
  <c r="F257"/>
  <c r="F120"/>
  <c r="F118"/>
  <c r="F179"/>
  <c r="F258" l="1"/>
  <c r="F73"/>
  <c r="F389"/>
  <c r="F94"/>
  <c r="F93" s="1"/>
  <c r="F491"/>
  <c r="F511"/>
  <c r="F510" s="1"/>
  <c r="F427" l="1"/>
  <c r="F289" l="1"/>
  <c r="F252" l="1"/>
  <c r="F256"/>
  <c r="F243"/>
  <c r="F242" s="1"/>
  <c r="F386" l="1"/>
  <c r="F383"/>
  <c r="F382" l="1"/>
  <c r="F381" s="1"/>
  <c r="F433"/>
  <c r="F210"/>
  <c r="F209" s="1"/>
  <c r="F20" l="1"/>
  <c r="F309" l="1"/>
  <c r="F308" s="1"/>
  <c r="F307" l="1"/>
  <c r="F495" l="1"/>
  <c r="F366" l="1"/>
  <c r="F365" s="1"/>
  <c r="F503"/>
  <c r="F341"/>
  <c r="F84"/>
  <c r="F250"/>
  <c r="F249" s="1"/>
  <c r="F248" s="1"/>
  <c r="F352"/>
  <c r="F153"/>
  <c r="F501"/>
  <c r="F238"/>
  <c r="F480"/>
  <c r="F479" s="1"/>
  <c r="F478" s="1"/>
  <c r="F477" s="1"/>
  <c r="F344"/>
  <c r="F369" l="1"/>
  <c r="F371"/>
  <c r="F406"/>
  <c r="F463" l="1"/>
  <c r="F204"/>
  <c r="F202"/>
  <c r="F235" l="1"/>
  <c r="F234" s="1"/>
  <c r="F337" l="1"/>
  <c r="F468" l="1"/>
  <c r="F411" l="1"/>
  <c r="F379"/>
  <c r="F378" s="1"/>
  <c r="F358" l="1"/>
  <c r="F350"/>
  <c r="F287"/>
  <c r="F207" l="1"/>
  <c r="F206" s="1"/>
  <c r="F200"/>
  <c r="F198"/>
  <c r="F196"/>
  <c r="F171"/>
  <c r="F195" l="1"/>
  <c r="F63"/>
  <c r="F161" l="1"/>
  <c r="F160" s="1"/>
  <c r="F159" s="1"/>
  <c r="F158" s="1"/>
  <c r="F103" l="1"/>
  <c r="F100" s="1"/>
  <c r="F240" l="1"/>
  <c r="F237" s="1"/>
  <c r="F216" l="1"/>
  <c r="F215" s="1"/>
  <c r="F148" l="1"/>
  <c r="F147" s="1"/>
  <c r="F414" l="1"/>
  <c r="F413" s="1"/>
  <c r="F409"/>
  <c r="F408" s="1"/>
  <c r="F404"/>
  <c r="F377" l="1"/>
  <c r="F403"/>
  <c r="F368"/>
  <c r="F376" l="1"/>
  <c r="F328"/>
  <c r="F326"/>
  <c r="F374" l="1"/>
  <c r="F373" s="1"/>
  <c r="F364" s="1"/>
  <c r="F455" l="1"/>
  <c r="F139" l="1"/>
  <c r="F430" l="1"/>
  <c r="F124" l="1"/>
  <c r="F346" l="1"/>
  <c r="F333" l="1"/>
  <c r="F332" s="1"/>
  <c r="F452" l="1"/>
  <c r="F451" s="1"/>
  <c r="F97"/>
  <c r="F96" s="1"/>
  <c r="F220"/>
  <c r="F219" s="1"/>
  <c r="F466"/>
  <c r="F465" s="1"/>
  <c r="F422" l="1"/>
  <c r="F218" l="1"/>
  <c r="F30" l="1"/>
  <c r="F29" s="1"/>
  <c r="F497" l="1"/>
  <c r="F494" s="1"/>
  <c r="F213"/>
  <c r="F212" s="1"/>
  <c r="F194" s="1"/>
  <c r="F472" l="1"/>
  <c r="F471" s="1"/>
  <c r="F487" l="1"/>
  <c r="F286" l="1"/>
  <c r="F151" l="1"/>
  <c r="F192"/>
  <c r="F191" s="1"/>
  <c r="F46"/>
  <c r="F45" s="1"/>
  <c r="F44" s="1"/>
  <c r="F59"/>
  <c r="F56" s="1"/>
  <c r="F51"/>
  <c r="F50" s="1"/>
  <c r="F150" l="1"/>
  <c r="F146" s="1"/>
  <c r="F24"/>
  <c r="F19" s="1"/>
  <c r="F18" s="1"/>
  <c r="F441" l="1"/>
  <c r="F133" l="1"/>
  <c r="F508" l="1"/>
  <c r="F357" l="1"/>
  <c r="F356" s="1"/>
  <c r="F355" l="1"/>
  <c r="F77"/>
  <c r="F489" l="1"/>
  <c r="F486" s="1"/>
  <c r="F137" l="1"/>
  <c r="F132" s="1"/>
  <c r="F325" l="1"/>
  <c r="F343"/>
  <c r="F331" s="1"/>
  <c r="F321"/>
  <c r="F320" s="1"/>
  <c r="F319" s="1"/>
  <c r="F330" l="1"/>
  <c r="F10"/>
  <c r="F49"/>
  <c r="F48" s="1"/>
  <c r="F69"/>
  <c r="F68" s="1"/>
  <c r="F67" s="1"/>
  <c r="F83"/>
  <c r="F86"/>
  <c r="F88"/>
  <c r="F91"/>
  <c r="F110"/>
  <c r="F109" s="1"/>
  <c r="F108" s="1"/>
  <c r="F107" s="1"/>
  <c r="F116"/>
  <c r="F115" s="1"/>
  <c r="F165"/>
  <c r="F164" s="1"/>
  <c r="F175"/>
  <c r="F169" s="1"/>
  <c r="F228"/>
  <c r="F285"/>
  <c r="F314"/>
  <c r="F313" s="1"/>
  <c r="F437"/>
  <c r="F439"/>
  <c r="F448"/>
  <c r="F447" s="1"/>
  <c r="F446" s="1"/>
  <c r="F475"/>
  <c r="F474" s="1"/>
  <c r="F450" s="1"/>
  <c r="F507"/>
  <c r="F506" s="1"/>
  <c r="F421" l="1"/>
  <c r="F227"/>
  <c r="F420"/>
  <c r="F419" s="1"/>
  <c r="F114"/>
  <c r="F131"/>
  <c r="F122" s="1"/>
  <c r="F28"/>
  <c r="F312"/>
  <c r="F311" s="1"/>
  <c r="F505"/>
  <c r="F485"/>
  <c r="F445" s="1"/>
  <c r="F190"/>
  <c r="F163"/>
  <c r="F85"/>
  <c r="F493"/>
  <c r="F492" s="1"/>
  <c r="F318"/>
  <c r="F317" s="1"/>
  <c r="G12"/>
  <c r="G11" s="1"/>
  <c r="G10" s="1"/>
  <c r="G20"/>
  <c r="G19" s="1"/>
  <c r="G18" s="1"/>
  <c r="G30"/>
  <c r="G38"/>
  <c r="G51"/>
  <c r="G59"/>
  <c r="G69"/>
  <c r="G68" s="1"/>
  <c r="G67" s="1"/>
  <c r="G110"/>
  <c r="G109" s="1"/>
  <c r="G108" s="1"/>
  <c r="G107" s="1"/>
  <c r="G116"/>
  <c r="G115" s="1"/>
  <c r="G114" s="1"/>
  <c r="G113" s="1"/>
  <c r="G165"/>
  <c r="G229"/>
  <c r="G247"/>
  <c r="G315"/>
  <c r="G313" s="1"/>
  <c r="G312" s="1"/>
  <c r="G311" s="1"/>
  <c r="G329"/>
  <c r="G424"/>
  <c r="G422" s="1"/>
  <c r="G443"/>
  <c r="G440" s="1"/>
  <c r="G439" s="1"/>
  <c r="G451"/>
  <c r="G450" s="1"/>
  <c r="G447" s="1"/>
  <c r="G495"/>
  <c r="G506"/>
  <c r="G517"/>
  <c r="G513" s="1"/>
  <c r="G71"/>
  <c r="F226" l="1"/>
  <c r="F225" s="1"/>
  <c r="F113"/>
  <c r="F145"/>
  <c r="F71"/>
  <c r="F9" s="1"/>
  <c r="G29"/>
  <c r="G28" s="1"/>
  <c r="G49"/>
  <c r="G48" s="1"/>
  <c r="G282"/>
  <c r="G228"/>
  <c r="G227" s="1"/>
  <c r="G490"/>
  <c r="F513" l="1"/>
  <c r="G9"/>
  <c r="G518" s="1"/>
</calcChain>
</file>

<file path=xl/sharedStrings.xml><?xml version="1.0" encoding="utf-8"?>
<sst xmlns="http://schemas.openxmlformats.org/spreadsheetml/2006/main" count="1225" uniqueCount="553">
  <si>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</si>
  <si>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</si>
  <si>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</si>
  <si>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</si>
  <si>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</si>
  <si>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</si>
  <si>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</si>
  <si>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</si>
  <si>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</si>
  <si>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</si>
  <si>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</si>
  <si>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</si>
  <si>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</si>
  <si>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</si>
  <si>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</si>
  <si>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</si>
  <si>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</si>
  <si>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</si>
  <si>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</si>
  <si>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</si>
  <si>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</si>
  <si>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</si>
  <si>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</si>
  <si>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</si>
  <si>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</si>
  <si>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</si>
  <si>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</si>
  <si>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</si>
  <si>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</si>
  <si>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</si>
  <si>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</si>
  <si>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</si>
  <si>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</si>
  <si>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</si>
  <si>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</si>
  <si>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</si>
  <si>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</si>
  <si>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</si>
  <si>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</si>
  <si>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</si>
  <si>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</si>
  <si>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</si>
  <si>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</si>
  <si>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</si>
  <si>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</si>
  <si>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</si>
  <si>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</si>
  <si>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</si>
  <si>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</si>
  <si>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</si>
  <si>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</si>
  <si>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</si>
  <si>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</si>
  <si>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</si>
  <si>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</si>
  <si>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</si>
  <si>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</si>
  <si>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</si>
  <si>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</si>
  <si>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</si>
  <si>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</si>
  <si>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</si>
  <si>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</si>
  <si>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</si>
  <si>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</si>
  <si>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</si>
  <si>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</si>
  <si>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</si>
  <si>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</si>
  <si>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</si>
  <si>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</si>
  <si>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</si>
  <si>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</si>
  <si>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</si>
  <si>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</si>
  <si>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</si>
  <si>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</si>
  <si>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</si>
  <si>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</si>
  <si>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</si>
  <si>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</si>
  <si>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</si>
  <si>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</si>
  <si>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</si>
  <si>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</si>
  <si>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</si>
  <si>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</si>
  <si>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</si>
  <si>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</si>
  <si>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</si>
  <si>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</si>
  <si>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</si>
  <si>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</si>
  <si>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</si>
  <si>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</si>
  <si>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</si>
  <si>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</si>
  <si>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</si>
  <si>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</si>
  <si>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</si>
  <si>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</si>
  <si>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</si>
  <si>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</si>
  <si>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</si>
  <si>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</si>
  <si>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</si>
  <si>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</si>
  <si>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</si>
  <si>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</si>
  <si>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</si>
  <si>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</si>
  <si>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</si>
  <si>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</si>
  <si>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</si>
  <si>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</si>
  <si>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</si>
  <si>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</si>
  <si>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</si>
  <si>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</si>
  <si>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</si>
  <si>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</si>
  <si>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</si>
  <si>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</si>
  <si>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</si>
  <si>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</si>
  <si>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</si>
  <si>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</si>
  <si>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</si>
  <si>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</si>
  <si>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</si>
  <si>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</si>
  <si>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</si>
  <si>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</si>
  <si>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</si>
  <si>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</si>
  <si>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</si>
  <si>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</si>
  <si>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</si>
  <si>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</si>
  <si>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</si>
  <si>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</si>
  <si>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</si>
  <si>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</si>
  <si>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</si>
  <si>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</si>
  <si>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</si>
  <si>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</si>
  <si>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</si>
  <si>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0200420004</t>
  </si>
  <si>
    <t>7000851180</t>
  </si>
  <si>
    <t>Сельское хозяйство и рыболовство</t>
  </si>
  <si>
    <t>2100042П00</t>
  </si>
  <si>
    <t>0700328200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</si>
  <si>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</si>
  <si>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</si>
  <si>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</si>
  <si>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</si>
  <si>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1500000000</t>
  </si>
  <si>
    <t>1400000000</t>
  </si>
  <si>
    <t>850</t>
  </si>
  <si>
    <t>Уплата налогов, сборов и иных платежей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</si>
  <si>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</si>
  <si>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</si>
  <si>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</si>
  <si>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</si>
  <si>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</si>
  <si>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</si>
  <si>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</si>
  <si>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</si>
  <si>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</si>
  <si>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</si>
  <si>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</si>
  <si>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</si>
  <si>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</si>
  <si>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</si>
  <si>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</si>
  <si>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</si>
  <si>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</si>
  <si>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</si>
  <si>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</si>
  <si>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630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</si>
  <si>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</si>
  <si>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</si>
  <si>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</si>
  <si>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</si>
  <si>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</si>
  <si>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</si>
  <si>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</si>
  <si>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</si>
  <si>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</si>
  <si>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1000223200</t>
  </si>
  <si>
    <t>1200000000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</si>
  <si>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</si>
  <si>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</si>
  <si>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</si>
  <si>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</si>
  <si>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</si>
  <si>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</si>
  <si>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</si>
  <si>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</si>
  <si>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</si>
  <si>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</si>
  <si>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</si>
  <si>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>Молодежная политика</t>
  </si>
  <si>
    <t>3000000000</t>
  </si>
  <si>
    <t>2600000000</t>
  </si>
  <si>
    <t>0900620106</t>
  </si>
  <si>
    <t>3100120100</t>
  </si>
  <si>
    <t>3100000000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</si>
  <si>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</si>
  <si>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</si>
  <si>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</si>
  <si>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</si>
  <si>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</si>
  <si>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</si>
  <si>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</si>
  <si>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</si>
  <si>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</si>
  <si>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</si>
  <si>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</si>
  <si>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</si>
  <si>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</si>
  <si>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</si>
  <si>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</si>
  <si>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</si>
  <si>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1600245120</t>
  </si>
  <si>
    <t>1600325210</t>
  </si>
  <si>
    <t>1600445300</t>
  </si>
  <si>
    <t>1600445310</t>
  </si>
  <si>
    <t>1600445320</t>
  </si>
  <si>
    <t>1600625310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</si>
  <si>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</si>
  <si>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</si>
  <si>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</si>
  <si>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</si>
  <si>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</si>
  <si>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</si>
  <si>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</si>
  <si>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0100120013</t>
  </si>
  <si>
    <t>0100220014</t>
  </si>
  <si>
    <t>Развитие системы общего образования в Махнёвском муниципальном образовании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</si>
  <si>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</si>
  <si>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</si>
  <si>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</si>
  <si>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</si>
  <si>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</si>
  <si>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</si>
  <si>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</si>
  <si>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</si>
  <si>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</si>
  <si>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</si>
  <si>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</si>
  <si>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</si>
  <si>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1900129000</t>
  </si>
  <si>
    <t xml:space="preserve"> Социальные выплаты гражданам, кроме публичных нормативных социальных выплат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</si>
  <si>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</si>
  <si>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</si>
  <si>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</si>
  <si>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</si>
  <si>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</si>
  <si>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</si>
  <si>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</si>
  <si>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</si>
  <si>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</si>
  <si>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</si>
  <si>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</si>
  <si>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1600825510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</si>
  <si>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</si>
  <si>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</si>
  <si>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</si>
  <si>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</si>
  <si>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</si>
  <si>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3400000000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</si>
  <si>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</si>
  <si>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</si>
  <si>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</si>
  <si>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</si>
  <si>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26001S3800</t>
  </si>
  <si>
    <t>16007S5600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</si>
  <si>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</si>
  <si>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</si>
  <si>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</si>
  <si>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</si>
  <si>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</si>
  <si>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1600100000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</si>
  <si>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</si>
  <si>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</si>
  <si>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</si>
  <si>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</si>
  <si>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</si>
  <si>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</si>
  <si>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</si>
  <si>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</si>
  <si>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</si>
  <si>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>Мероприятия в сфере обращения с ТКО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</si>
  <si>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</si>
  <si>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</si>
  <si>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>Организация захоронения бесхозных трупов</t>
  </si>
  <si>
    <t>1900229000</t>
  </si>
  <si>
    <t xml:space="preserve">Осуществление кадастровых работ в отношении объектов недвижимости муниципальной собственности и земельных участков муниципальной и государственной собственности, право на которые не разграничены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</si>
  <si>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</si>
  <si>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>18003R4620</t>
  </si>
  <si>
    <t xml:space="preserve">Социальные выплаты гражданам, кроме публичных нормативных социальных выплат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</si>
  <si>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</si>
  <si>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</si>
  <si>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0200620006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</si>
  <si>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</si>
  <si>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</si>
  <si>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</si>
  <si>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</si>
  <si>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</si>
  <si>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</si>
  <si>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>Ликвидация ветхих и аварийных домов на территории Махнёвского муниципального образования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</si>
  <si>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</si>
  <si>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</si>
  <si>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</si>
  <si>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</si>
  <si>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</si>
  <si>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</si>
  <si>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</si>
  <si>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</si>
  <si>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</si>
  <si>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</si>
  <si>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</si>
  <si>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</si>
  <si>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Организация и проведение мероприятий, предоставление услуг (выполнение работ) в сфере физической культуры и спорта</t>
  </si>
  <si>
    <t>0700228100</t>
  </si>
  <si>
    <t>Другие вопросы в области жилищно-коммунального хозяйства</t>
  </si>
  <si>
    <t>2500000000</t>
  </si>
  <si>
    <t>Обеспечение содержания объектов муниципальной собственности (коммунальные услуги и содержание жилья)</t>
  </si>
  <si>
    <t>Приложение №3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</si>
  <si>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</si>
  <si>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</si>
  <si>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2023 год </t>
  </si>
  <si>
    <t>0600222200</t>
  </si>
  <si>
    <t xml:space="preserve"> Поддержка общественных объединений добровольной пожарной дружины</t>
  </si>
  <si>
    <t>1200123110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</si>
  <si>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</si>
  <si>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 xml:space="preserve"> </t>
  </si>
  <si>
    <t>Государственная поддержка лучших сельских учреждений культуры и лучших работников сельских учреждений культуры</t>
  </si>
  <si>
    <t>3300242110</t>
  </si>
  <si>
    <t>1700355197</t>
  </si>
  <si>
    <t>1600345Ш00</t>
  </si>
  <si>
    <t>Обеспечение жилыми помещениями инвалидов и семей имеющих детей инвалидов</t>
  </si>
  <si>
    <t>3300221502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</si>
  <si>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</si>
  <si>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</si>
  <si>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3500121501</t>
  </si>
  <si>
    <t xml:space="preserve">Техническое обслуживание инженерных сетей, аварийное прикрытие, первичный пуск газа </t>
  </si>
  <si>
    <t>Реконструкция и модернизация объектов коммунальной инфраструктуры (капитальный ремонт сетей теплоснабжения)</t>
  </si>
  <si>
    <t xml:space="preserve">Аренда (лизинг) системы осветительного оборудования </t>
  </si>
  <si>
    <t>1300323720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</si>
  <si>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</si>
  <si>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</si>
  <si>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rFont val="Liberation Serif"/>
        <family val="1"/>
        <charset val="204"/>
      </rPr>
      <t xml:space="preserve"> </t>
    </r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</si>
  <si>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</si>
  <si>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</si>
  <si>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</si>
  <si>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</si>
  <si>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</si>
  <si>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</si>
  <si>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«Формирование современной городской среды  на 2018-2025 годы»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</si>
  <si>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</si>
  <si>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</si>
  <si>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</si>
  <si>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</si>
  <si>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</si>
  <si>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</si>
  <si>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</si>
  <si>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</si>
  <si>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</si>
  <si>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</si>
  <si>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 «Профилактика туберкулёза в Махнёвском муниципальном образовании на 2017-2025 годы» </t>
  </si>
  <si>
    <t>Муниципальная программа "Обеспечение жильем молодых семей на территории Свердловской области на 2018 – 2025 годы"</t>
  </si>
  <si>
    <t>7001121105</t>
  </si>
  <si>
    <t>16003S5Ш00</t>
  </si>
  <si>
    <t>Обеспечение мероприятий по оборудованию спортивных площадок в общеобразовательных организациях</t>
  </si>
  <si>
    <t>16005L3040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</si>
  <si>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</si>
  <si>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1600700000</t>
  </si>
  <si>
    <t>1600745600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</si>
  <si>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</si>
  <si>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Обустройство транспортной инфраструктурой земельных участков для ижс многодетным семьям</t>
  </si>
  <si>
    <t>1300223200</t>
  </si>
  <si>
    <t>0900620107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</si>
  <si>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</si>
  <si>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3300321503</t>
  </si>
  <si>
    <t>0500320100</t>
  </si>
  <si>
    <t>Выполнение работ по устранению последствий чрезвычайных ситуаций природного и техногенного характера</t>
  </si>
  <si>
    <t>0500420100</t>
  </si>
  <si>
    <t>На выполнение мероприятий по гражданской обороне</t>
  </si>
  <si>
    <t>1300242110</t>
  </si>
  <si>
    <t>13002S2110</t>
  </si>
  <si>
    <t>1300523760</t>
  </si>
  <si>
    <t>830</t>
  </si>
  <si>
    <t xml:space="preserve">Исполнение судебных актов </t>
  </si>
  <si>
    <t>Государственная поддержка лучших сельских учреждений культуры и лучших работников сельских учреждений культуры  на условиях софинансирования за счёт средств местного бюджета</t>
  </si>
  <si>
    <t>17003S5197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</si>
  <si>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</si>
  <si>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</si>
  <si>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</si>
  <si>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</si>
  <si>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1600525210</t>
  </si>
  <si>
    <t>Обеспечение мероприятий по оборудованию спортивных площадок в общеобразовательных организациях (местный бюджет)</t>
  </si>
  <si>
    <t xml:space="preserve">Муниципальная программа «Управление муниципальными финансами Махнёвского муниципального образования  на 2023-2029 годы» 
</t>
  </si>
  <si>
    <t>Организация отдыха  детей  в каникулярное время, включая мероприятия по обеспечению безопасности их жизни и здоровья  на условиях софинансирования за счет средств местного бюджета</t>
  </si>
  <si>
    <t xml:space="preserve">Осуществление мероприятий по обеспечению питанием обучающихся в муниципальных общеобразовательных организациях </t>
  </si>
  <si>
    <t>1300321503</t>
  </si>
  <si>
    <t>3600000000</t>
  </si>
  <si>
    <t>Муниципальная программа "Использование и охрана земель на территории Махнёвского муниципального образования до 2028 года"</t>
  </si>
  <si>
    <t>1300723770</t>
  </si>
  <si>
    <t>Услуги страхования</t>
  </si>
  <si>
    <t>160ЕВ51790</t>
  </si>
  <si>
    <t>Приобретение автобуса для организации регулярного пассажирского сообщения автомобильным транспортом между населёнными пунктами Махнёвского муниципального образования за счёт средств резервного фонда Правительства Свердловской области</t>
  </si>
  <si>
    <t>0900240700</t>
  </si>
  <si>
    <t xml:space="preserve">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побережъе Черного моря   </t>
  </si>
  <si>
    <t>1600745610</t>
  </si>
  <si>
    <t>1600745200</t>
  </si>
  <si>
    <t xml:space="preserve">Обеспечение дополнительных гарантий по социальной поддержке детей-сирот и детей оставшихся без попечения родителей, лиц из числа детей сирот и детей, оставшихся без попечения родителей, лиц потерявших в период обучения обоих родителей или единственного родителя, обучающихся в муниципальных образовательных организациях (приобретение одежды, обуви), (приобретение учебной литературы)   </t>
  </si>
  <si>
    <t>Исполнение судебных актов</t>
  </si>
  <si>
    <t>7001021104</t>
  </si>
  <si>
    <t>Оплата э/энергии на автомобильном мосту</t>
  </si>
  <si>
    <t>0900420104</t>
  </si>
  <si>
    <t>16003L3030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</si>
  <si>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</si>
  <si>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</t>
  </si>
  <si>
    <t>Обеспечение деятельности обслуживающего персонала учреждений культуры</t>
  </si>
  <si>
    <t>1300029200</t>
  </si>
  <si>
    <t>Мероприятия по строительству объекта "Газоснабжение жилых домов  ГЭК "Огонёк" с.Мугай, Алапаевский район, софинансирование за счёт средств местного бюджета</t>
  </si>
  <si>
    <t>Уплата иных платежей</t>
  </si>
  <si>
    <t>853</t>
  </si>
  <si>
    <t>0900720108</t>
  </si>
  <si>
    <t>Ремонт автомобильных дорог общего пользования местного значения</t>
  </si>
  <si>
    <t>7000040700</t>
  </si>
  <si>
    <t>Межбюджетный трансферт на ликвидацию чрезвычайной ситуации регионального характера</t>
  </si>
  <si>
    <t>Выполнение строительно монтажных работ по объекту "Одноэтажная жилая застройка в п.Таёжный" на условиях софинансирования за счёт средств местного бюджета</t>
  </si>
  <si>
    <t>Непрограмные направления деятельности</t>
  </si>
  <si>
    <t>Бюджетные инвестиции в объекты капитального строительства государственной (муниципальной ) собственности</t>
  </si>
  <si>
    <t>414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</si>
  <si>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</si>
  <si>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0900644600</t>
  </si>
  <si>
    <t>1300323300</t>
  </si>
  <si>
    <t>Снос бесхозяйных  домовладений на территории Махнёвского муниципального образования</t>
  </si>
  <si>
    <t>Разработка проектно-сметной документации для реконструкции очистных сооружений</t>
  </si>
  <si>
    <t>7000340600</t>
  </si>
  <si>
    <t>Межбюджетный трасферт для приобретения ваккумной машины на шасси ГАЗ NEXT</t>
  </si>
  <si>
    <t>1300223300</t>
  </si>
  <si>
    <t>1300340700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</si>
  <si>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 </t>
  </si>
  <si>
    <t>7000140600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</si>
  <si>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(Осуществление обслуживания органов местного самоуправления) </t>
  </si>
  <si>
    <t>0100140600</t>
  </si>
  <si>
    <t>0100640600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</si>
  <si>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обслуживающего персонала учреждений культуры)</t>
  </si>
  <si>
    <t>1700640600</t>
  </si>
  <si>
    <t>7000240600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</si>
  <si>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(Обеспечение деятельности   муниципальных органов (центральный аппарат)Финансовый отдел </t>
  </si>
  <si>
    <t>0300140600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</si>
  <si>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(Руководитель контрольно-счётной палаты муниципального образования и его заместители) </t>
  </si>
  <si>
    <t>7000540600</t>
  </si>
  <si>
    <t>7000440600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</si>
  <si>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(Дошкольное образование) </t>
  </si>
  <si>
    <t>1600140600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</si>
  <si>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(Общее образование) </t>
  </si>
  <si>
    <t>1600340600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</si>
  <si>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(Дополнительное образование детей)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</si>
  <si>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РФ  (Массовый спорт) </t>
  </si>
  <si>
    <t>0700340600</t>
  </si>
  <si>
    <t>23</t>
  </si>
  <si>
    <t>25</t>
  </si>
  <si>
    <t>26</t>
  </si>
  <si>
    <t>27</t>
  </si>
  <si>
    <t>7000340700</t>
  </si>
  <si>
    <t>21.1</t>
  </si>
  <si>
    <t>22</t>
  </si>
  <si>
    <t>20.1</t>
  </si>
  <si>
    <t>1600640600</t>
  </si>
  <si>
    <t>Обеспечение мероприятий по  оборудованию спортивных площадок в общеобразовательных организациях на условиях софинансирования за счет средств местного бюджета</t>
  </si>
  <si>
    <t>152.1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</si>
  <si>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долгу. Мероприятия направленные на патриотическое воспитание и допризывную подготовку молодых граждан 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</si>
  <si>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</si>
  <si>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 (Глава муниципального образования)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</si>
  <si>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 (Председатель представительного органа  муниципального образования)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</si>
  <si>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   (Обеспечение деятельности   муниципальных органов (центральный аппарат  представительного органа  муниципального образования)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</si>
  <si>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 (Обеспечение деятельности   муниципальных органов (центральный аппарат) </t>
  </si>
  <si>
    <t xml:space="preserve"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   (Обеспечение деятельности   муниципальных органов (территориальные органы) </t>
  </si>
  <si>
    <t>157.1</t>
  </si>
  <si>
    <t>157.2</t>
  </si>
  <si>
    <t>Обеспечение реализации муниципальной программы «Управление муниципальными финансами Махнёвского муниципального образования  на 2023-2029 годы"</t>
  </si>
  <si>
    <t>Межбюджетный трансферт на приобретение автомобиля LADA Vesta CROSS (комплектация Enjoy)</t>
  </si>
  <si>
    <t>Межбюджетный трансферт 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  (Создание и развитие системы обеспечения вызова экстренных оперативных служб)</t>
  </si>
  <si>
    <t>7</t>
  </si>
  <si>
    <t>7000220014</t>
  </si>
  <si>
    <t xml:space="preserve">Представительские расходы Думы Махнёвского муниципального образования
</t>
  </si>
  <si>
    <t>78.1</t>
  </si>
  <si>
    <t>80.1</t>
  </si>
  <si>
    <t>245.1</t>
  </si>
  <si>
    <t>240.1</t>
  </si>
  <si>
    <t>241.1</t>
  </si>
  <si>
    <t>1300440700</t>
  </si>
  <si>
    <t>130.1</t>
  </si>
  <si>
    <t>129.1</t>
  </si>
  <si>
    <t>02005L5990</t>
  </si>
  <si>
    <t>На подготовку проектов межевания земельных участков и проведение кадастровых работ</t>
  </si>
  <si>
    <t xml:space="preserve"> Муниципальная программа «Повышение эффективности управления муниципальной собственностью Махнёвского муниципального образования на 2019-2025 годы» </t>
  </si>
  <si>
    <t>130.2</t>
  </si>
  <si>
    <t xml:space="preserve">Межбюджетный трансферт на приобретение оборудования, необходимого для работы системы отопления, в целях безаварийного прохождения отопительного периода 2023/2024 года  </t>
  </si>
  <si>
    <t>13003S0700</t>
  </si>
  <si>
    <t>Приобретение ваккумной машины на шасси ГАЗ NEXT за счёт средств местного бюджета</t>
  </si>
  <si>
    <t>238.1</t>
  </si>
  <si>
    <t>239.1</t>
  </si>
  <si>
    <t>360</t>
  </si>
  <si>
    <t>362.1</t>
  </si>
  <si>
    <t>256.1</t>
  </si>
  <si>
    <t>Глава Махнёвского муниципального образования                                           А.С.Корелин</t>
  </si>
  <si>
    <t>Поощрение Главе муниципального образования, расположенного на территории Свердловской области, входящего в состав управленческой команды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</t>
  </si>
  <si>
    <t>6.1</t>
  </si>
  <si>
    <t>7.1</t>
  </si>
  <si>
    <t>7000155490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</si>
  <si>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(Территориальные органы)</t>
  </si>
  <si>
    <t>7000455490</t>
  </si>
  <si>
    <t>26.1</t>
  </si>
  <si>
    <t>27.1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</si>
  <si>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(Центральный аппарат)</t>
  </si>
  <si>
    <t>7000355490</t>
  </si>
  <si>
    <t>22.1</t>
  </si>
  <si>
    <t>23.1</t>
  </si>
  <si>
    <t>41.1</t>
  </si>
  <si>
    <t>42.1</t>
  </si>
  <si>
    <t>Поощрение муниципальной управленческой команде за достижение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(ФО)</t>
  </si>
  <si>
    <t>1800229200</t>
  </si>
  <si>
    <t>Обеспечение осуществления оплаты труда работников муниципальных организаций дополнительного образования с учетом установленных указами Президента Российской Федерации показателей соотношения заработной платы для данных категорий работников</t>
  </si>
  <si>
    <t>1600645П00</t>
  </si>
  <si>
    <t>323.1</t>
  </si>
  <si>
    <t>324.1</t>
  </si>
  <si>
    <t>416.1</t>
  </si>
  <si>
    <t>417.1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</si>
  <si>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услуг, за счёт средств местного бюджета </t>
  </si>
  <si>
    <t>Реконструкция и модернизация объектов коммунальной инфраструктуры (ремонт сетей теплоснабжения)</t>
  </si>
  <si>
    <t xml:space="preserve">Межбюджетный трансферт на строительство, реконструкцию, капитальный ремонт, ремонт автомобильных дорог общего пользования местного значения </t>
  </si>
  <si>
    <t>153.1</t>
  </si>
  <si>
    <t>154.1</t>
  </si>
  <si>
    <t>0900640700</t>
  </si>
  <si>
    <t>МБТ на поставку и монтаж системы видеонаблюдения, на содержание мостового сооружения через реку Тагил в пгт.Махнёво</t>
  </si>
  <si>
    <t>61.1</t>
  </si>
  <si>
    <t>62.1</t>
  </si>
  <si>
    <t>0100140700</t>
  </si>
  <si>
    <t>МБТ на приобретение снегоуборочной машины, приобретение инструмента, приобретение орг.техники</t>
  </si>
  <si>
    <t>105.1</t>
  </si>
  <si>
    <t>106.1</t>
  </si>
  <si>
    <t>0100640700</t>
  </si>
  <si>
    <t>МБТ на приобретение формы для сотрудников единой дежурно- диспетчерской службы</t>
  </si>
  <si>
    <t xml:space="preserve">от 27.12.2023 № 314      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</si>
</sst>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4"/>
      <name val="Liberation Serif"/>
      <family val="1"/>
      <charset val="204"/>
    </font>
    <font>
      <b/>
      <sz val="9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5" borderId="0"/>
  </cellStyleXfs>
  <cellXfs count="105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 textRotation="90" wrapText="1"/>
    </xf>
    <xf numFmtId="0" fontId="11" fillId="4" borderId="1" xfId="0" applyFont="1" applyFill="1" applyBorder="1" applyAlignment="1">
      <alignment horizontal="center" vertical="center" wrapText="1" shrinkToFit="1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1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6" fontId="1" fillId="2" borderId="0" xfId="0" applyNumberFormat="1" applyFont="1" applyFill="1"/>
    <xf numFmtId="166" fontId="13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Alignment="1">
      <alignment horizontal="center" wrapText="1"/>
    </xf>
    <xf numFmtId="166" fontId="3" fillId="0" borderId="1" xfId="0" applyNumberFormat="1" applyFont="1" applyFill="1" applyBorder="1" applyAlignment="1"/>
    <xf numFmtId="0" fontId="0" fillId="0" borderId="0" xfId="0" applyFill="1" applyAlignment="1"/>
    <xf numFmtId="0" fontId="1" fillId="0" borderId="0" xfId="0" applyFont="1" applyFill="1" applyAlignment="1"/>
    <xf numFmtId="0" fontId="3" fillId="0" borderId="0" xfId="0" applyFont="1" applyFill="1"/>
    <xf numFmtId="0" fontId="0" fillId="0" borderId="0" xfId="0" applyFill="1"/>
    <xf numFmtId="166" fontId="0" fillId="0" borderId="1" xfId="0" applyNumberFormat="1" applyFill="1" applyBorder="1" applyAlignment="1"/>
    <xf numFmtId="0" fontId="8" fillId="0" borderId="0" xfId="0" applyFont="1" applyFill="1"/>
    <xf numFmtId="166" fontId="2" fillId="0" borderId="1" xfId="0" applyNumberFormat="1" applyFont="1" applyFill="1" applyBorder="1" applyAlignment="1"/>
    <xf numFmtId="0" fontId="2" fillId="0" borderId="0" xfId="0" applyFont="1" applyFill="1"/>
    <xf numFmtId="0" fontId="1" fillId="0" borderId="0" xfId="0" applyFont="1" applyFill="1"/>
    <xf numFmtId="0" fontId="9" fillId="0" borderId="0" xfId="0" applyFont="1" applyFill="1"/>
    <xf numFmtId="166" fontId="11" fillId="0" borderId="1" xfId="0" applyNumberFormat="1" applyFont="1" applyFill="1" applyBorder="1" applyAlignment="1"/>
    <xf numFmtId="0" fontId="0" fillId="0" borderId="0" xfId="0" applyFill="1" applyAlignment="1"/>
    <xf numFmtId="0" fontId="0" fillId="0" borderId="0" xfId="0" applyAlignment="1"/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/>
    <xf numFmtId="166" fontId="8" fillId="0" borderId="1" xfId="0" applyNumberFormat="1" applyFont="1" applyFill="1" applyBorder="1" applyAlignment="1"/>
    <xf numFmtId="0" fontId="0" fillId="0" borderId="0" xfId="0" applyFill="1" applyAlignment="1"/>
    <xf numFmtId="0" fontId="0" fillId="0" borderId="0" xfId="0" applyFill="1" applyAlignment="1"/>
    <xf numFmtId="49" fontId="11" fillId="0" borderId="1" xfId="1" applyNumberFormat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 shrinkToFit="1"/>
    </xf>
    <xf numFmtId="166" fontId="12" fillId="6" borderId="1" xfId="0" applyNumberFormat="1" applyFont="1" applyFill="1" applyBorder="1" applyAlignment="1">
      <alignment horizontal="center" vertical="center"/>
    </xf>
    <xf numFmtId="166" fontId="18" fillId="0" borderId="1" xfId="0" applyNumberFormat="1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  <xf numFmtId="0" fontId="0" fillId="0" borderId="0" xfId="0" applyFill="1" applyAlignment="1"/>
    <xf numFmtId="0" fontId="9" fillId="0" borderId="0" xfId="0" applyFont="1" applyAlignment="1"/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2"/>
  <sheetViews>
    <sheetView tabSelected="1" zoomScale="110" zoomScaleNormal="110" workbookViewId="0">
      <selection activeCell="B4" sqref="B4:F4"/>
    </sheetView>
  </sheetViews>
  <sheetFormatPr defaultRowHeight="12.75"/>
  <cols>
    <col min="1" max="1" width="4.8554687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19" customWidth="1"/>
    <col min="6" max="6" width="15.5703125" style="6" customWidth="1"/>
    <col min="7" max="7" width="11.28515625" style="8" hidden="1" customWidth="1"/>
    <col min="8" max="8" width="13.28515625" customWidth="1"/>
  </cols>
  <sheetData>
    <row r="1" spans="1:10" ht="12.75" customHeight="1">
      <c r="A1" s="23"/>
      <c r="B1" s="30"/>
      <c r="C1" s="30"/>
      <c r="D1" s="31"/>
      <c r="E1" s="95" t="s">
        <v>330</v>
      </c>
      <c r="F1" s="95"/>
      <c r="G1" s="16"/>
    </row>
    <row r="2" spans="1:10">
      <c r="A2" s="23"/>
      <c r="B2" s="31"/>
      <c r="C2" s="31"/>
      <c r="D2" s="31"/>
      <c r="E2" s="95" t="s">
        <v>33</v>
      </c>
      <c r="F2" s="95"/>
      <c r="G2" s="17"/>
    </row>
    <row r="3" spans="1:10">
      <c r="A3" s="24"/>
      <c r="B3" s="31"/>
      <c r="C3" s="31"/>
      <c r="D3" s="31"/>
      <c r="E3" s="95" t="s">
        <v>50</v>
      </c>
      <c r="F3" s="95"/>
      <c r="G3" s="17"/>
    </row>
    <row r="4" spans="1:10">
      <c r="A4" s="23"/>
      <c r="B4" s="96" t="s">
        <v>552</v>
      </c>
      <c r="C4" s="96"/>
      <c r="D4" s="96"/>
      <c r="E4" s="96"/>
      <c r="F4" s="96"/>
    </row>
    <row r="5" spans="1:10">
      <c r="A5" s="23"/>
      <c r="B5" s="23"/>
      <c r="C5" s="24"/>
      <c r="D5" s="24"/>
      <c r="E5" s="25"/>
      <c r="F5" s="28"/>
    </row>
    <row r="6" spans="1:10" ht="47.25" customHeight="1">
      <c r="A6" s="104" t="s">
        <v>333</v>
      </c>
      <c r="B6" s="104"/>
      <c r="C6" s="104"/>
      <c r="D6" s="104"/>
      <c r="E6" s="104"/>
      <c r="F6" s="104"/>
    </row>
    <row r="7" spans="1:10">
      <c r="A7" s="29"/>
      <c r="B7" s="24"/>
      <c r="C7" s="24"/>
      <c r="D7" s="24"/>
      <c r="E7" s="25"/>
      <c r="F7" s="28"/>
    </row>
    <row r="8" spans="1:10" ht="61.5" customHeight="1">
      <c r="A8" s="26" t="s">
        <v>0</v>
      </c>
      <c r="B8" s="26" t="s">
        <v>2</v>
      </c>
      <c r="C8" s="26" t="s">
        <v>3</v>
      </c>
      <c r="D8" s="26" t="s">
        <v>4</v>
      </c>
      <c r="E8" s="27" t="s">
        <v>1</v>
      </c>
      <c r="F8" s="27" t="s">
        <v>177</v>
      </c>
      <c r="G8" s="3" t="s">
        <v>37</v>
      </c>
    </row>
    <row r="9" spans="1:10" ht="15.75" customHeight="1">
      <c r="A9" s="43">
        <v>1</v>
      </c>
      <c r="B9" s="33">
        <v>100</v>
      </c>
      <c r="C9" s="34"/>
      <c r="D9" s="34"/>
      <c r="E9" s="53" t="s">
        <v>5</v>
      </c>
      <c r="F9" s="46">
        <f>SUM(F10+F18+F28+F44+F48+F67+F71)</f>
        <v>63063.000000000007</v>
      </c>
      <c r="G9" s="9" t="e">
        <f>G10+G18+G28+G48+G67+G71+#REF!</f>
        <v>#REF!</v>
      </c>
    </row>
    <row r="10" spans="1:10" ht="25.5" customHeight="1">
      <c r="A10" s="43">
        <v>2</v>
      </c>
      <c r="B10" s="33">
        <v>102</v>
      </c>
      <c r="C10" s="34"/>
      <c r="D10" s="34"/>
      <c r="E10" s="35" t="s">
        <v>52</v>
      </c>
      <c r="F10" s="46">
        <f t="shared" ref="F10:G12" si="0">F11</f>
        <v>1813.2</v>
      </c>
      <c r="G10" s="10">
        <f t="shared" si="0"/>
        <v>1452</v>
      </c>
    </row>
    <row r="11" spans="1:10" ht="12.75" customHeight="1">
      <c r="A11" s="43">
        <v>3</v>
      </c>
      <c r="B11" s="33">
        <v>102</v>
      </c>
      <c r="C11" s="34" t="s">
        <v>96</v>
      </c>
      <c r="D11" s="34"/>
      <c r="E11" s="35" t="s">
        <v>53</v>
      </c>
      <c r="F11" s="46">
        <f>F12+F14+F16</f>
        <v>1813.2</v>
      </c>
      <c r="G11" s="10">
        <f t="shared" si="0"/>
        <v>1452</v>
      </c>
    </row>
    <row r="12" spans="1:10" ht="12.75" customHeight="1">
      <c r="A12" s="43">
        <v>4</v>
      </c>
      <c r="B12" s="33">
        <v>102</v>
      </c>
      <c r="C12" s="34" t="s">
        <v>94</v>
      </c>
      <c r="D12" s="34"/>
      <c r="E12" s="35" t="s">
        <v>29</v>
      </c>
      <c r="F12" s="46">
        <f>F13</f>
        <v>1712.9</v>
      </c>
      <c r="G12" s="10">
        <f t="shared" si="0"/>
        <v>1452</v>
      </c>
    </row>
    <row r="13" spans="1:10" ht="27" customHeight="1">
      <c r="A13" s="43">
        <v>5</v>
      </c>
      <c r="B13" s="36">
        <v>102</v>
      </c>
      <c r="C13" s="37" t="s">
        <v>94</v>
      </c>
      <c r="D13" s="37" t="s">
        <v>45</v>
      </c>
      <c r="E13" s="38" t="s">
        <v>163</v>
      </c>
      <c r="F13" s="47">
        <f>1740-27.1</f>
        <v>1712.9</v>
      </c>
      <c r="G13" s="11">
        <v>1452</v>
      </c>
    </row>
    <row r="14" spans="1:10" ht="78" customHeight="1">
      <c r="A14" s="43">
        <v>6</v>
      </c>
      <c r="B14" s="33">
        <v>102</v>
      </c>
      <c r="C14" s="34" t="s">
        <v>449</v>
      </c>
      <c r="D14" s="34"/>
      <c r="E14" s="35" t="s">
        <v>481</v>
      </c>
      <c r="F14" s="46">
        <f t="shared" ref="F14:F16" si="1">F15</f>
        <v>22.2</v>
      </c>
      <c r="G14" s="11"/>
      <c r="J14" s="15"/>
    </row>
    <row r="15" spans="1:10" ht="27" customHeight="1">
      <c r="A15" s="44" t="s">
        <v>516</v>
      </c>
      <c r="B15" s="36">
        <v>102</v>
      </c>
      <c r="C15" s="37" t="s">
        <v>449</v>
      </c>
      <c r="D15" s="37" t="s">
        <v>45</v>
      </c>
      <c r="E15" s="38" t="s">
        <v>163</v>
      </c>
      <c r="F15" s="47">
        <v>22.2</v>
      </c>
      <c r="G15" s="11"/>
    </row>
    <row r="16" spans="1:10" ht="103.5" customHeight="1">
      <c r="A16" s="44" t="s">
        <v>491</v>
      </c>
      <c r="B16" s="33">
        <v>102</v>
      </c>
      <c r="C16" s="34" t="s">
        <v>518</v>
      </c>
      <c r="D16" s="37"/>
      <c r="E16" s="64" t="s">
        <v>515</v>
      </c>
      <c r="F16" s="46">
        <f t="shared" si="1"/>
        <v>78.099999999999994</v>
      </c>
      <c r="G16" s="11"/>
    </row>
    <row r="17" spans="1:7" ht="27" customHeight="1">
      <c r="A17" s="44" t="s">
        <v>517</v>
      </c>
      <c r="B17" s="36">
        <v>102</v>
      </c>
      <c r="C17" s="37" t="s">
        <v>518</v>
      </c>
      <c r="D17" s="37" t="s">
        <v>45</v>
      </c>
      <c r="E17" s="38" t="s">
        <v>163</v>
      </c>
      <c r="F17" s="47">
        <v>78.099999999999994</v>
      </c>
      <c r="G17" s="11"/>
    </row>
    <row r="18" spans="1:7" ht="38.25" customHeight="1">
      <c r="A18" s="43">
        <v>8</v>
      </c>
      <c r="B18" s="33">
        <v>103</v>
      </c>
      <c r="C18" s="34"/>
      <c r="D18" s="34"/>
      <c r="E18" s="35" t="s">
        <v>26</v>
      </c>
      <c r="F18" s="46">
        <f t="shared" ref="F18" si="2">F19</f>
        <v>2430.4</v>
      </c>
      <c r="G18" s="10">
        <f>G19</f>
        <v>1517</v>
      </c>
    </row>
    <row r="19" spans="1:7" ht="12.75" customHeight="1">
      <c r="A19" s="43">
        <v>9</v>
      </c>
      <c r="B19" s="60">
        <v>103</v>
      </c>
      <c r="C19" s="87" t="s">
        <v>96</v>
      </c>
      <c r="D19" s="44"/>
      <c r="E19" s="35" t="s">
        <v>53</v>
      </c>
      <c r="F19" s="46">
        <f>SUM(F20+F22+F24+F26)</f>
        <v>2430.4</v>
      </c>
      <c r="G19" s="10">
        <f t="shared" ref="G19:G20" si="3">G20</f>
        <v>1517</v>
      </c>
    </row>
    <row r="20" spans="1:7" ht="24.75" customHeight="1">
      <c r="A20" s="43">
        <v>10</v>
      </c>
      <c r="B20" s="60">
        <v>103</v>
      </c>
      <c r="C20" s="87" t="s">
        <v>93</v>
      </c>
      <c r="D20" s="44"/>
      <c r="E20" s="35" t="s">
        <v>92</v>
      </c>
      <c r="F20" s="46">
        <f t="shared" ref="F20:F22" si="4">F21</f>
        <v>1376.8</v>
      </c>
      <c r="G20" s="10">
        <f t="shared" si="3"/>
        <v>1517</v>
      </c>
    </row>
    <row r="21" spans="1:7" ht="24.75" customHeight="1">
      <c r="A21" s="43">
        <v>11</v>
      </c>
      <c r="B21" s="61">
        <v>103</v>
      </c>
      <c r="C21" s="88" t="s">
        <v>93</v>
      </c>
      <c r="D21" s="37" t="s">
        <v>45</v>
      </c>
      <c r="E21" s="38" t="s">
        <v>163</v>
      </c>
      <c r="F21" s="47">
        <f>1366-36.4+73.9-20.5-6.2</f>
        <v>1376.8</v>
      </c>
      <c r="G21" s="11">
        <v>1517</v>
      </c>
    </row>
    <row r="22" spans="1:7" ht="82.5" customHeight="1">
      <c r="A22" s="43">
        <v>12</v>
      </c>
      <c r="B22" s="60">
        <v>103</v>
      </c>
      <c r="C22" s="87" t="s">
        <v>455</v>
      </c>
      <c r="D22" s="37"/>
      <c r="E22" s="35" t="s">
        <v>482</v>
      </c>
      <c r="F22" s="46">
        <f t="shared" si="4"/>
        <v>17.8</v>
      </c>
      <c r="G22" s="11"/>
    </row>
    <row r="23" spans="1:7" ht="24.75" customHeight="1">
      <c r="A23" s="43">
        <v>13</v>
      </c>
      <c r="B23" s="61">
        <v>103</v>
      </c>
      <c r="C23" s="88" t="s">
        <v>455</v>
      </c>
      <c r="D23" s="37" t="s">
        <v>45</v>
      </c>
      <c r="E23" s="38" t="s">
        <v>163</v>
      </c>
      <c r="F23" s="47">
        <v>17.8</v>
      </c>
      <c r="G23" s="11"/>
    </row>
    <row r="24" spans="1:7" ht="28.5" customHeight="1">
      <c r="A24" s="43">
        <v>14</v>
      </c>
      <c r="B24" s="60">
        <v>103</v>
      </c>
      <c r="C24" s="87" t="s">
        <v>95</v>
      </c>
      <c r="D24" s="37"/>
      <c r="E24" s="35" t="s">
        <v>54</v>
      </c>
      <c r="F24" s="46">
        <f>SUM(F25)</f>
        <v>1019.8000000000001</v>
      </c>
      <c r="G24" s="11"/>
    </row>
    <row r="25" spans="1:7" ht="25.5" customHeight="1">
      <c r="A25" s="43">
        <v>15</v>
      </c>
      <c r="B25" s="61">
        <v>103</v>
      </c>
      <c r="C25" s="88" t="s">
        <v>95</v>
      </c>
      <c r="D25" s="37" t="s">
        <v>45</v>
      </c>
      <c r="E25" s="38" t="s">
        <v>163</v>
      </c>
      <c r="F25" s="47">
        <f>730+222.9+83-11.5-4.6</f>
        <v>1019.8000000000001</v>
      </c>
      <c r="G25" s="11"/>
    </row>
    <row r="26" spans="1:7" ht="105" customHeight="1">
      <c r="A26" s="43">
        <v>16</v>
      </c>
      <c r="B26" s="60">
        <v>103</v>
      </c>
      <c r="C26" s="87" t="s">
        <v>444</v>
      </c>
      <c r="D26" s="37"/>
      <c r="E26" s="35" t="s">
        <v>483</v>
      </c>
      <c r="F26" s="46">
        <f>SUM(F27)</f>
        <v>16</v>
      </c>
      <c r="G26" s="11"/>
    </row>
    <row r="27" spans="1:7" ht="25.5" customHeight="1">
      <c r="A27" s="43">
        <v>17</v>
      </c>
      <c r="B27" s="61">
        <v>103</v>
      </c>
      <c r="C27" s="88" t="s">
        <v>444</v>
      </c>
      <c r="D27" s="37" t="s">
        <v>45</v>
      </c>
      <c r="E27" s="38" t="s">
        <v>163</v>
      </c>
      <c r="F27" s="47">
        <v>16</v>
      </c>
      <c r="G27" s="11"/>
    </row>
    <row r="28" spans="1:7" ht="45.75" customHeight="1">
      <c r="A28" s="43">
        <v>18</v>
      </c>
      <c r="B28" s="33">
        <v>104</v>
      </c>
      <c r="C28" s="34"/>
      <c r="D28" s="34"/>
      <c r="E28" s="35" t="s">
        <v>31</v>
      </c>
      <c r="F28" s="46">
        <f>F29</f>
        <v>20438.200000000004</v>
      </c>
      <c r="G28" s="10" t="e">
        <f>G29</f>
        <v>#REF!</v>
      </c>
    </row>
    <row r="29" spans="1:7" ht="17.25" customHeight="1">
      <c r="A29" s="43">
        <v>19</v>
      </c>
      <c r="B29" s="33">
        <v>104</v>
      </c>
      <c r="C29" s="34" t="s">
        <v>96</v>
      </c>
      <c r="D29" s="34"/>
      <c r="E29" s="35" t="s">
        <v>53</v>
      </c>
      <c r="F29" s="46">
        <f>SUM(F30+F32+F34+F36+F38+F40+F42)</f>
        <v>20438.200000000004</v>
      </c>
      <c r="G29" s="10" t="e">
        <f>G30+G38+#REF!+#REF!</f>
        <v>#REF!</v>
      </c>
    </row>
    <row r="30" spans="1:7" ht="25.5" customHeight="1">
      <c r="A30" s="43">
        <v>20</v>
      </c>
      <c r="B30" s="33">
        <v>104</v>
      </c>
      <c r="C30" s="34" t="s">
        <v>95</v>
      </c>
      <c r="D30" s="34"/>
      <c r="E30" s="35" t="s">
        <v>54</v>
      </c>
      <c r="F30" s="46">
        <f>SUM(F31:F31)</f>
        <v>14147.5</v>
      </c>
      <c r="G30" s="10">
        <f>G31</f>
        <v>14238</v>
      </c>
    </row>
    <row r="31" spans="1:7" ht="28.5" customHeight="1">
      <c r="A31" s="44" t="s">
        <v>475</v>
      </c>
      <c r="B31" s="36">
        <v>104</v>
      </c>
      <c r="C31" s="37" t="s">
        <v>95</v>
      </c>
      <c r="D31" s="37" t="s">
        <v>45</v>
      </c>
      <c r="E31" s="38" t="s">
        <v>163</v>
      </c>
      <c r="F31" s="47">
        <f>16020-90-1000-441.2-90.3-190-61</f>
        <v>14147.5</v>
      </c>
      <c r="G31" s="11">
        <v>14238</v>
      </c>
    </row>
    <row r="32" spans="1:7" ht="93" customHeight="1">
      <c r="A32" s="43">
        <v>21</v>
      </c>
      <c r="B32" s="36">
        <v>104</v>
      </c>
      <c r="C32" s="37" t="s">
        <v>444</v>
      </c>
      <c r="D32" s="37"/>
      <c r="E32" s="35" t="s">
        <v>484</v>
      </c>
      <c r="F32" s="46">
        <f>SUM(F33:F33)</f>
        <v>207.6</v>
      </c>
      <c r="G32" s="11"/>
    </row>
    <row r="33" spans="1:8" ht="28.5" customHeight="1">
      <c r="A33" s="44" t="s">
        <v>473</v>
      </c>
      <c r="B33" s="36">
        <v>104</v>
      </c>
      <c r="C33" s="37" t="s">
        <v>444</v>
      </c>
      <c r="D33" s="37" t="s">
        <v>45</v>
      </c>
      <c r="E33" s="38" t="s">
        <v>163</v>
      </c>
      <c r="F33" s="47">
        <f>1046-1046+207.6</f>
        <v>207.6</v>
      </c>
      <c r="G33" s="11"/>
    </row>
    <row r="34" spans="1:8" ht="28.5" customHeight="1">
      <c r="A34" s="44" t="s">
        <v>474</v>
      </c>
      <c r="B34" s="33">
        <v>104</v>
      </c>
      <c r="C34" s="34" t="s">
        <v>472</v>
      </c>
      <c r="D34" s="37"/>
      <c r="E34" s="64" t="s">
        <v>489</v>
      </c>
      <c r="F34" s="46">
        <f>SUM(F35:F35)</f>
        <v>1648.6</v>
      </c>
      <c r="G34" s="11"/>
    </row>
    <row r="35" spans="1:8" ht="28.5" customHeight="1">
      <c r="A35" s="44" t="s">
        <v>525</v>
      </c>
      <c r="B35" s="36">
        <v>104</v>
      </c>
      <c r="C35" s="37" t="s">
        <v>472</v>
      </c>
      <c r="D35" s="37" t="s">
        <v>56</v>
      </c>
      <c r="E35" s="38" t="s">
        <v>162</v>
      </c>
      <c r="F35" s="47">
        <v>1648.6</v>
      </c>
      <c r="G35" s="11"/>
    </row>
    <row r="36" spans="1:8" ht="88.5" customHeight="1">
      <c r="A36" s="44" t="s">
        <v>468</v>
      </c>
      <c r="B36" s="33">
        <v>104</v>
      </c>
      <c r="C36" s="34" t="s">
        <v>524</v>
      </c>
      <c r="D36" s="37"/>
      <c r="E36" s="64" t="s">
        <v>523</v>
      </c>
      <c r="F36" s="46">
        <f>SUM(F37:F37)</f>
        <v>46.4</v>
      </c>
      <c r="G36" s="11"/>
    </row>
    <row r="37" spans="1:8" ht="26.25" customHeight="1">
      <c r="A37" s="44" t="s">
        <v>526</v>
      </c>
      <c r="B37" s="36">
        <v>104</v>
      </c>
      <c r="C37" s="37" t="s">
        <v>524</v>
      </c>
      <c r="D37" s="37" t="s">
        <v>56</v>
      </c>
      <c r="E37" s="38" t="s">
        <v>162</v>
      </c>
      <c r="F37" s="47">
        <v>46.4</v>
      </c>
      <c r="G37" s="11"/>
    </row>
    <row r="38" spans="1:8" ht="27.75" customHeight="1">
      <c r="A38" s="43">
        <v>24</v>
      </c>
      <c r="B38" s="33">
        <v>104</v>
      </c>
      <c r="C38" s="34" t="s">
        <v>97</v>
      </c>
      <c r="D38" s="34"/>
      <c r="E38" s="35" t="s">
        <v>57</v>
      </c>
      <c r="F38" s="46">
        <f>SUM(F39)</f>
        <v>4309.2000000000025</v>
      </c>
      <c r="G38" s="10">
        <f>G39</f>
        <v>9260</v>
      </c>
    </row>
    <row r="39" spans="1:8" ht="24" customHeight="1">
      <c r="A39" s="44" t="s">
        <v>469</v>
      </c>
      <c r="B39" s="36">
        <v>104</v>
      </c>
      <c r="C39" s="37" t="s">
        <v>97</v>
      </c>
      <c r="D39" s="37" t="s">
        <v>45</v>
      </c>
      <c r="E39" s="38" t="s">
        <v>163</v>
      </c>
      <c r="F39" s="47">
        <f>4680-11.8+11.8-50.1-11.3-7.8-244.8+6.6+2+21.3-36.5-16.4+2.1+3.6+11.1-0.7+1.8-21.5+0.7-1.9+1.1-43.9+13.8</f>
        <v>4309.2000000000025</v>
      </c>
      <c r="G39" s="11">
        <v>9260</v>
      </c>
    </row>
    <row r="40" spans="1:8" ht="89.25" customHeight="1">
      <c r="A40" s="44" t="s">
        <v>470</v>
      </c>
      <c r="B40" s="33">
        <v>104</v>
      </c>
      <c r="C40" s="34" t="s">
        <v>460</v>
      </c>
      <c r="D40" s="37"/>
      <c r="E40" s="35" t="s">
        <v>485</v>
      </c>
      <c r="F40" s="46">
        <f>SUM(F41)</f>
        <v>54.7</v>
      </c>
      <c r="G40" s="11"/>
    </row>
    <row r="41" spans="1:8" ht="27.75" customHeight="1">
      <c r="A41" s="44" t="s">
        <v>521</v>
      </c>
      <c r="B41" s="36">
        <v>104</v>
      </c>
      <c r="C41" s="37" t="s">
        <v>460</v>
      </c>
      <c r="D41" s="37" t="s">
        <v>45</v>
      </c>
      <c r="E41" s="38" t="s">
        <v>163</v>
      </c>
      <c r="F41" s="47">
        <f>9.8+8.7+9.3+9.4+9.4+8.1</f>
        <v>54.7</v>
      </c>
      <c r="G41" s="11"/>
    </row>
    <row r="42" spans="1:8" ht="88.5" customHeight="1">
      <c r="A42" s="44" t="s">
        <v>471</v>
      </c>
      <c r="B42" s="33">
        <v>104</v>
      </c>
      <c r="C42" s="34" t="s">
        <v>520</v>
      </c>
      <c r="D42" s="37"/>
      <c r="E42" s="64" t="s">
        <v>519</v>
      </c>
      <c r="F42" s="46">
        <f>SUM(F43)</f>
        <v>24.2</v>
      </c>
      <c r="G42" s="11"/>
    </row>
    <row r="43" spans="1:8" ht="27.75" customHeight="1">
      <c r="A43" s="44" t="s">
        <v>522</v>
      </c>
      <c r="B43" s="36">
        <v>104</v>
      </c>
      <c r="C43" s="37" t="s">
        <v>520</v>
      </c>
      <c r="D43" s="37" t="s">
        <v>45</v>
      </c>
      <c r="E43" s="38" t="s">
        <v>163</v>
      </c>
      <c r="F43" s="47">
        <v>24.2</v>
      </c>
      <c r="G43" s="11"/>
    </row>
    <row r="44" spans="1:8" ht="18.75" customHeight="1">
      <c r="A44" s="43">
        <v>28</v>
      </c>
      <c r="B44" s="33">
        <v>105</v>
      </c>
      <c r="C44" s="34"/>
      <c r="D44" s="34"/>
      <c r="E44" s="35" t="s">
        <v>202</v>
      </c>
      <c r="F44" s="46">
        <f>SUM(F45)</f>
        <v>0.7</v>
      </c>
      <c r="G44" s="11"/>
    </row>
    <row r="45" spans="1:8" ht="18.75" customHeight="1">
      <c r="A45" s="43">
        <v>29</v>
      </c>
      <c r="B45" s="33">
        <v>105</v>
      </c>
      <c r="C45" s="34" t="s">
        <v>96</v>
      </c>
      <c r="D45" s="34"/>
      <c r="E45" s="35" t="s">
        <v>53</v>
      </c>
      <c r="F45" s="46">
        <f>SUM(F46)</f>
        <v>0.7</v>
      </c>
      <c r="G45" s="11"/>
    </row>
    <row r="46" spans="1:8" ht="51.75" customHeight="1">
      <c r="A46" s="43">
        <v>30</v>
      </c>
      <c r="B46" s="33">
        <v>105</v>
      </c>
      <c r="C46" s="34" t="s">
        <v>187</v>
      </c>
      <c r="D46" s="34"/>
      <c r="E46" s="65" t="s">
        <v>313</v>
      </c>
      <c r="F46" s="46">
        <f>SUM(F47)</f>
        <v>0.7</v>
      </c>
      <c r="G46" s="11"/>
      <c r="H46" s="5"/>
    </row>
    <row r="47" spans="1:8" ht="30.75" customHeight="1">
      <c r="A47" s="43">
        <v>31</v>
      </c>
      <c r="B47" s="36">
        <v>105</v>
      </c>
      <c r="C47" s="37" t="s">
        <v>187</v>
      </c>
      <c r="D47" s="37" t="s">
        <v>56</v>
      </c>
      <c r="E47" s="38" t="s">
        <v>162</v>
      </c>
      <c r="F47" s="47">
        <v>0.7</v>
      </c>
      <c r="G47" s="11"/>
    </row>
    <row r="48" spans="1:8" ht="39" customHeight="1">
      <c r="A48" s="43">
        <v>32</v>
      </c>
      <c r="B48" s="33">
        <v>106</v>
      </c>
      <c r="C48" s="34"/>
      <c r="D48" s="34"/>
      <c r="E48" s="35" t="s">
        <v>303</v>
      </c>
      <c r="F48" s="46">
        <f>F49+F56</f>
        <v>4546.7000000000007</v>
      </c>
      <c r="G48" s="10" t="e">
        <f>G49+#REF!</f>
        <v>#REF!</v>
      </c>
    </row>
    <row r="49" spans="1:7" ht="39.75" customHeight="1">
      <c r="A49" s="43">
        <v>33</v>
      </c>
      <c r="B49" s="33">
        <v>106</v>
      </c>
      <c r="C49" s="34" t="s">
        <v>154</v>
      </c>
      <c r="D49" s="34"/>
      <c r="E49" s="35" t="s">
        <v>404</v>
      </c>
      <c r="F49" s="46">
        <f>F50</f>
        <v>3099.0000000000005</v>
      </c>
      <c r="G49" s="10" t="e">
        <f>G51+G59</f>
        <v>#REF!</v>
      </c>
    </row>
    <row r="50" spans="1:7" ht="39.75" customHeight="1">
      <c r="A50" s="43">
        <v>34</v>
      </c>
      <c r="B50" s="33">
        <v>106</v>
      </c>
      <c r="C50" s="34" t="s">
        <v>99</v>
      </c>
      <c r="D50" s="34"/>
      <c r="E50" s="89" t="s">
        <v>488</v>
      </c>
      <c r="F50" s="46">
        <f>SUM(F51+F54)</f>
        <v>3099.0000000000005</v>
      </c>
      <c r="G50" s="10"/>
    </row>
    <row r="51" spans="1:7" ht="27" customHeight="1">
      <c r="A51" s="43">
        <v>35</v>
      </c>
      <c r="B51" s="33">
        <v>106</v>
      </c>
      <c r="C51" s="34" t="s">
        <v>98</v>
      </c>
      <c r="D51" s="34"/>
      <c r="E51" s="35" t="s">
        <v>55</v>
      </c>
      <c r="F51" s="46">
        <f>SUM(F52:F53)</f>
        <v>3060.7000000000003</v>
      </c>
      <c r="G51" s="10" t="e">
        <f>G52+#REF!</f>
        <v>#REF!</v>
      </c>
    </row>
    <row r="52" spans="1:7" ht="32.25" customHeight="1">
      <c r="A52" s="43">
        <v>36</v>
      </c>
      <c r="B52" s="36">
        <v>106</v>
      </c>
      <c r="C52" s="37" t="s">
        <v>98</v>
      </c>
      <c r="D52" s="37" t="s">
        <v>45</v>
      </c>
      <c r="E52" s="38" t="s">
        <v>163</v>
      </c>
      <c r="F52" s="90">
        <f>3000-3.7-76.8-23.2-18.9-50.7-6.5+6.5</f>
        <v>2826.7000000000003</v>
      </c>
      <c r="G52" s="11">
        <v>809</v>
      </c>
    </row>
    <row r="53" spans="1:7" ht="29.25" customHeight="1">
      <c r="A53" s="43">
        <v>37</v>
      </c>
      <c r="B53" s="36">
        <v>106</v>
      </c>
      <c r="C53" s="37" t="s">
        <v>98</v>
      </c>
      <c r="D53" s="37" t="s">
        <v>56</v>
      </c>
      <c r="E53" s="38" t="s">
        <v>162</v>
      </c>
      <c r="F53" s="47">
        <f>112-23.2+23.2+122</f>
        <v>234</v>
      </c>
      <c r="G53" s="11"/>
    </row>
    <row r="54" spans="1:7" ht="90.75" customHeight="1">
      <c r="A54" s="43">
        <v>38</v>
      </c>
      <c r="B54" s="33">
        <v>106</v>
      </c>
      <c r="C54" s="34" t="s">
        <v>457</v>
      </c>
      <c r="D54" s="37"/>
      <c r="E54" s="35" t="s">
        <v>456</v>
      </c>
      <c r="F54" s="46">
        <f>SUM(F55:F55)</f>
        <v>38.299999999999997</v>
      </c>
      <c r="G54" s="11"/>
    </row>
    <row r="55" spans="1:7" ht="29.25" customHeight="1">
      <c r="A55" s="43">
        <v>39</v>
      </c>
      <c r="B55" s="36">
        <v>106</v>
      </c>
      <c r="C55" s="37" t="s">
        <v>457</v>
      </c>
      <c r="D55" s="37" t="s">
        <v>45</v>
      </c>
      <c r="E55" s="38" t="s">
        <v>163</v>
      </c>
      <c r="F55" s="47">
        <v>38.299999999999997</v>
      </c>
      <c r="G55" s="11"/>
    </row>
    <row r="56" spans="1:7" ht="18" customHeight="1">
      <c r="A56" s="43">
        <v>40</v>
      </c>
      <c r="B56" s="33">
        <v>106</v>
      </c>
      <c r="C56" s="34" t="s">
        <v>96</v>
      </c>
      <c r="D56" s="37"/>
      <c r="E56" s="35" t="s">
        <v>53</v>
      </c>
      <c r="F56" s="46">
        <f>SUM(F57+F59+F61+F63+F65)</f>
        <v>1447.7</v>
      </c>
      <c r="G56" s="11"/>
    </row>
    <row r="57" spans="1:7" ht="91.5" customHeight="1">
      <c r="A57" s="43">
        <v>41</v>
      </c>
      <c r="B57" s="33">
        <v>106</v>
      </c>
      <c r="C57" s="34" t="s">
        <v>518</v>
      </c>
      <c r="D57" s="37"/>
      <c r="E57" s="64" t="s">
        <v>529</v>
      </c>
      <c r="F57" s="46">
        <f>SUM(F58)</f>
        <v>4.5999999999999996</v>
      </c>
      <c r="G57" s="11"/>
    </row>
    <row r="58" spans="1:7" ht="29.25" customHeight="1">
      <c r="A58" s="43" t="s">
        <v>527</v>
      </c>
      <c r="B58" s="36">
        <v>106</v>
      </c>
      <c r="C58" s="37" t="s">
        <v>518</v>
      </c>
      <c r="D58" s="37" t="s">
        <v>45</v>
      </c>
      <c r="E58" s="38" t="s">
        <v>163</v>
      </c>
      <c r="F58" s="47">
        <v>4.5999999999999996</v>
      </c>
      <c r="G58" s="11"/>
    </row>
    <row r="59" spans="1:7" ht="25.5" customHeight="1">
      <c r="A59" s="43">
        <v>42</v>
      </c>
      <c r="B59" s="33">
        <v>106</v>
      </c>
      <c r="C59" s="34" t="s">
        <v>95</v>
      </c>
      <c r="D59" s="34"/>
      <c r="E59" s="35" t="s">
        <v>54</v>
      </c>
      <c r="F59" s="46">
        <f>SUM(F60)</f>
        <v>549.40000000000009</v>
      </c>
      <c r="G59" s="10">
        <f>G60</f>
        <v>847</v>
      </c>
    </row>
    <row r="60" spans="1:7" ht="25.5" customHeight="1">
      <c r="A60" s="43" t="s">
        <v>528</v>
      </c>
      <c r="B60" s="36">
        <v>106</v>
      </c>
      <c r="C60" s="37" t="s">
        <v>95</v>
      </c>
      <c r="D60" s="37" t="s">
        <v>45</v>
      </c>
      <c r="E60" s="38" t="s">
        <v>163</v>
      </c>
      <c r="F60" s="47">
        <f>544.5+1.6+3.1+0.2</f>
        <v>549.40000000000009</v>
      </c>
      <c r="G60" s="11">
        <v>847</v>
      </c>
    </row>
    <row r="61" spans="1:7" ht="92.25" customHeight="1">
      <c r="A61" s="43">
        <v>43</v>
      </c>
      <c r="B61" s="33">
        <v>106</v>
      </c>
      <c r="C61" s="34" t="s">
        <v>444</v>
      </c>
      <c r="D61" s="37"/>
      <c r="E61" s="35" t="s">
        <v>448</v>
      </c>
      <c r="F61" s="46">
        <f>SUM(F62)</f>
        <v>9.1999999999999993</v>
      </c>
      <c r="G61" s="11"/>
    </row>
    <row r="62" spans="1:7" ht="25.5" customHeight="1">
      <c r="A62" s="43">
        <v>44</v>
      </c>
      <c r="B62" s="36">
        <v>106</v>
      </c>
      <c r="C62" s="37" t="s">
        <v>444</v>
      </c>
      <c r="D62" s="37" t="s">
        <v>45</v>
      </c>
      <c r="E62" s="38" t="s">
        <v>163</v>
      </c>
      <c r="F62" s="47">
        <v>9.1999999999999993</v>
      </c>
      <c r="G62" s="11"/>
    </row>
    <row r="63" spans="1:7" ht="29.25" customHeight="1">
      <c r="A63" s="43">
        <v>45</v>
      </c>
      <c r="B63" s="33">
        <v>106</v>
      </c>
      <c r="C63" s="34" t="s">
        <v>100</v>
      </c>
      <c r="D63" s="34"/>
      <c r="E63" s="35" t="s">
        <v>27</v>
      </c>
      <c r="F63" s="46">
        <f>SUM(F64)</f>
        <v>870.9</v>
      </c>
      <c r="G63" s="11"/>
    </row>
    <row r="64" spans="1:7" ht="29.25" customHeight="1">
      <c r="A64" s="43">
        <v>46</v>
      </c>
      <c r="B64" s="36">
        <v>106</v>
      </c>
      <c r="C64" s="37" t="s">
        <v>100</v>
      </c>
      <c r="D64" s="37" t="s">
        <v>45</v>
      </c>
      <c r="E64" s="38" t="s">
        <v>163</v>
      </c>
      <c r="F64" s="47">
        <f>825.5+38.3+10.4-2.5-0.8</f>
        <v>870.9</v>
      </c>
      <c r="G64" s="11"/>
    </row>
    <row r="65" spans="1:9" ht="90.75" customHeight="1">
      <c r="A65" s="43">
        <v>47</v>
      </c>
      <c r="B65" s="33">
        <v>106</v>
      </c>
      <c r="C65" s="34" t="s">
        <v>459</v>
      </c>
      <c r="D65" s="37"/>
      <c r="E65" s="35" t="s">
        <v>458</v>
      </c>
      <c r="F65" s="46">
        <f>SUM(F66)</f>
        <v>13.6</v>
      </c>
      <c r="G65" s="11"/>
    </row>
    <row r="66" spans="1:9" ht="29.25" customHeight="1">
      <c r="A66" s="43">
        <v>48</v>
      </c>
      <c r="B66" s="36">
        <v>106</v>
      </c>
      <c r="C66" s="37" t="s">
        <v>459</v>
      </c>
      <c r="D66" s="37" t="s">
        <v>45</v>
      </c>
      <c r="E66" s="38" t="s">
        <v>163</v>
      </c>
      <c r="F66" s="47">
        <v>13.6</v>
      </c>
      <c r="G66" s="11"/>
    </row>
    <row r="67" spans="1:9" ht="12.75" customHeight="1">
      <c r="A67" s="43">
        <v>49</v>
      </c>
      <c r="B67" s="33">
        <v>111</v>
      </c>
      <c r="C67" s="34"/>
      <c r="D67" s="34"/>
      <c r="E67" s="35" t="s">
        <v>6</v>
      </c>
      <c r="F67" s="46">
        <f t="shared" ref="F67:G69" si="5">F68</f>
        <v>940</v>
      </c>
      <c r="G67" s="10">
        <f t="shared" si="5"/>
        <v>250</v>
      </c>
    </row>
    <row r="68" spans="1:9" ht="12.75" customHeight="1">
      <c r="A68" s="43">
        <v>50</v>
      </c>
      <c r="B68" s="33">
        <v>111</v>
      </c>
      <c r="C68" s="34" t="s">
        <v>96</v>
      </c>
      <c r="D68" s="34"/>
      <c r="E68" s="35" t="s">
        <v>53</v>
      </c>
      <c r="F68" s="46">
        <f t="shared" si="5"/>
        <v>940</v>
      </c>
      <c r="G68" s="10">
        <f t="shared" si="5"/>
        <v>250</v>
      </c>
    </row>
    <row r="69" spans="1:9" ht="12.75" customHeight="1">
      <c r="A69" s="43">
        <v>51</v>
      </c>
      <c r="B69" s="33">
        <v>111</v>
      </c>
      <c r="C69" s="34" t="s">
        <v>112</v>
      </c>
      <c r="D69" s="34"/>
      <c r="E69" s="35" t="s">
        <v>7</v>
      </c>
      <c r="F69" s="46">
        <f t="shared" si="5"/>
        <v>940</v>
      </c>
      <c r="G69" s="10">
        <f t="shared" si="5"/>
        <v>250</v>
      </c>
    </row>
    <row r="70" spans="1:9" ht="18.75" customHeight="1">
      <c r="A70" s="43">
        <v>52</v>
      </c>
      <c r="B70" s="36">
        <v>111</v>
      </c>
      <c r="C70" s="37" t="s">
        <v>112</v>
      </c>
      <c r="D70" s="37" t="s">
        <v>46</v>
      </c>
      <c r="E70" s="38" t="s">
        <v>47</v>
      </c>
      <c r="F70" s="47">
        <f>300+488+360-208</f>
        <v>940</v>
      </c>
      <c r="G70" s="11">
        <v>250</v>
      </c>
    </row>
    <row r="71" spans="1:9" ht="20.25" customHeight="1">
      <c r="A71" s="43">
        <v>53</v>
      </c>
      <c r="B71" s="33">
        <v>113</v>
      </c>
      <c r="C71" s="34"/>
      <c r="D71" s="34"/>
      <c r="E71" s="35" t="s">
        <v>24</v>
      </c>
      <c r="F71" s="46">
        <f>SUM(F72+F93+F96+F100)</f>
        <v>32893.800000000003</v>
      </c>
      <c r="G71" s="10" t="e">
        <f>#REF!+#REF!+#REF!+#REF!+#REF!+#REF!+#REF!+#REF!+#REF!+#REF!</f>
        <v>#REF!</v>
      </c>
    </row>
    <row r="72" spans="1:9" ht="38.25" customHeight="1">
      <c r="A72" s="43">
        <v>54</v>
      </c>
      <c r="B72" s="33">
        <v>113</v>
      </c>
      <c r="C72" s="34" t="s">
        <v>101</v>
      </c>
      <c r="D72" s="37"/>
      <c r="E72" s="35" t="s">
        <v>271</v>
      </c>
      <c r="F72" s="46">
        <f>SUM(F73+F77+F79+F81+F83+F85+F91)</f>
        <v>32499.500000000004</v>
      </c>
      <c r="G72" s="10"/>
    </row>
    <row r="73" spans="1:9" ht="26.25" customHeight="1">
      <c r="A73" s="43">
        <v>55</v>
      </c>
      <c r="B73" s="33">
        <v>113</v>
      </c>
      <c r="C73" s="34" t="s">
        <v>106</v>
      </c>
      <c r="D73" s="34"/>
      <c r="E73" s="40" t="s">
        <v>59</v>
      </c>
      <c r="F73" s="46">
        <f>SUM(F74:F76)</f>
        <v>28826.800000000003</v>
      </c>
      <c r="G73" s="10"/>
    </row>
    <row r="74" spans="1:9" s="4" customFormat="1" ht="21" customHeight="1">
      <c r="A74" s="43">
        <v>56</v>
      </c>
      <c r="B74" s="36">
        <v>113</v>
      </c>
      <c r="C74" s="37" t="s">
        <v>106</v>
      </c>
      <c r="D74" s="37" t="s">
        <v>39</v>
      </c>
      <c r="E74" s="52" t="s">
        <v>60</v>
      </c>
      <c r="F74" s="47">
        <f>5236.5+599.6+1881.3-555+5406.9+134.9+40.7+3450+1053.1+1050+703.6+950+287+329.9+60.9+170.7</f>
        <v>20800.100000000002</v>
      </c>
      <c r="G74" s="12"/>
      <c r="H74" s="41"/>
    </row>
    <row r="75" spans="1:9" s="4" customFormat="1" ht="30.75" customHeight="1">
      <c r="A75" s="43">
        <v>57</v>
      </c>
      <c r="B75" s="36">
        <v>113</v>
      </c>
      <c r="C75" s="37" t="s">
        <v>106</v>
      </c>
      <c r="D75" s="37" t="s">
        <v>56</v>
      </c>
      <c r="E75" s="38" t="s">
        <v>162</v>
      </c>
      <c r="F75" s="47">
        <f>3500+1000+1316.7+175.4+404.9+20+100+22.3+31.5+436.4+476.8-220.5+54.3+23.2+23.5+60+100+80.1+7.9+310.7+23.7+52.6+1.3</f>
        <v>8000.7999999999993</v>
      </c>
      <c r="G75" s="12"/>
      <c r="H75" s="41"/>
      <c r="I75" s="41" t="s">
        <v>338</v>
      </c>
    </row>
    <row r="76" spans="1:9" s="4" customFormat="1" ht="23.25" customHeight="1">
      <c r="A76" s="43">
        <v>58</v>
      </c>
      <c r="B76" s="36">
        <v>113</v>
      </c>
      <c r="C76" s="37" t="s">
        <v>106</v>
      </c>
      <c r="D76" s="37" t="s">
        <v>159</v>
      </c>
      <c r="E76" s="52" t="s">
        <v>160</v>
      </c>
      <c r="F76" s="47">
        <f>20+5.9</f>
        <v>25.9</v>
      </c>
      <c r="G76" s="12"/>
      <c r="H76" s="41"/>
      <c r="I76" s="41"/>
    </row>
    <row r="77" spans="1:9" ht="32.25" customHeight="1">
      <c r="A77" s="43">
        <v>59</v>
      </c>
      <c r="B77" s="33">
        <v>113</v>
      </c>
      <c r="C77" s="34" t="s">
        <v>238</v>
      </c>
      <c r="D77" s="34"/>
      <c r="E77" s="40" t="s">
        <v>176</v>
      </c>
      <c r="F77" s="46">
        <f>SUM(F78)</f>
        <v>1754.9</v>
      </c>
      <c r="G77" s="10"/>
    </row>
    <row r="78" spans="1:9" ht="28.5" customHeight="1">
      <c r="A78" s="43">
        <v>60</v>
      </c>
      <c r="B78" s="36">
        <v>113</v>
      </c>
      <c r="C78" s="37" t="s">
        <v>238</v>
      </c>
      <c r="D78" s="37" t="s">
        <v>56</v>
      </c>
      <c r="E78" s="38" t="s">
        <v>162</v>
      </c>
      <c r="F78" s="47">
        <f>920+19.8+815.1</f>
        <v>1754.9</v>
      </c>
      <c r="G78" s="10"/>
    </row>
    <row r="79" spans="1:9" ht="78.75" customHeight="1">
      <c r="A79" s="43">
        <v>61</v>
      </c>
      <c r="B79" s="33">
        <v>113</v>
      </c>
      <c r="C79" s="34" t="s">
        <v>451</v>
      </c>
      <c r="D79" s="34"/>
      <c r="E79" s="35" t="s">
        <v>450</v>
      </c>
      <c r="F79" s="46">
        <f t="shared" ref="F79:F81" si="6">F80</f>
        <v>83.6</v>
      </c>
      <c r="G79" s="10"/>
    </row>
    <row r="80" spans="1:9" ht="28.5" customHeight="1">
      <c r="A80" s="43" t="s">
        <v>544</v>
      </c>
      <c r="B80" s="36">
        <v>113</v>
      </c>
      <c r="C80" s="37" t="s">
        <v>451</v>
      </c>
      <c r="D80" s="37" t="s">
        <v>39</v>
      </c>
      <c r="E80" s="52" t="s">
        <v>60</v>
      </c>
      <c r="F80" s="47">
        <v>83.6</v>
      </c>
      <c r="G80" s="10"/>
    </row>
    <row r="81" spans="1:7" ht="28.5" customHeight="1">
      <c r="A81" s="43">
        <v>62</v>
      </c>
      <c r="B81" s="33">
        <v>113</v>
      </c>
      <c r="C81" s="34" t="s">
        <v>546</v>
      </c>
      <c r="D81" s="34"/>
      <c r="E81" s="94" t="s">
        <v>547</v>
      </c>
      <c r="F81" s="46">
        <f t="shared" si="6"/>
        <v>1688.8</v>
      </c>
      <c r="G81" s="10"/>
    </row>
    <row r="82" spans="1:7" ht="28.5" customHeight="1">
      <c r="A82" s="43" t="s">
        <v>545</v>
      </c>
      <c r="B82" s="36">
        <v>113</v>
      </c>
      <c r="C82" s="37" t="s">
        <v>546</v>
      </c>
      <c r="D82" s="37" t="s">
        <v>56</v>
      </c>
      <c r="E82" s="38" t="s">
        <v>162</v>
      </c>
      <c r="F82" s="90">
        <f>62.4+370.7+1255.7</f>
        <v>1688.8</v>
      </c>
      <c r="G82" s="10"/>
    </row>
    <row r="83" spans="1:7" ht="32.25" customHeight="1">
      <c r="A83" s="43">
        <v>63</v>
      </c>
      <c r="B83" s="33">
        <v>113</v>
      </c>
      <c r="C83" s="34" t="s">
        <v>239</v>
      </c>
      <c r="D83" s="34"/>
      <c r="E83" s="40" t="s">
        <v>61</v>
      </c>
      <c r="F83" s="46">
        <f>F84</f>
        <v>30</v>
      </c>
      <c r="G83" s="10"/>
    </row>
    <row r="84" spans="1:7" s="4" customFormat="1" ht="28.5" customHeight="1">
      <c r="A84" s="43">
        <v>64</v>
      </c>
      <c r="B84" s="36">
        <v>113</v>
      </c>
      <c r="C84" s="37" t="s">
        <v>239</v>
      </c>
      <c r="D84" s="37" t="s">
        <v>56</v>
      </c>
      <c r="E84" s="38" t="s">
        <v>162</v>
      </c>
      <c r="F84" s="47">
        <f>50-20</f>
        <v>30</v>
      </c>
      <c r="G84" s="12"/>
    </row>
    <row r="85" spans="1:7" s="4" customFormat="1" ht="43.5" customHeight="1">
      <c r="A85" s="43">
        <v>65</v>
      </c>
      <c r="B85" s="33">
        <v>113</v>
      </c>
      <c r="C85" s="34" t="s">
        <v>179</v>
      </c>
      <c r="D85" s="37"/>
      <c r="E85" s="40" t="s">
        <v>62</v>
      </c>
      <c r="F85" s="46">
        <f>F86+F88</f>
        <v>115.4</v>
      </c>
      <c r="G85" s="12"/>
    </row>
    <row r="86" spans="1:7" s="4" customFormat="1" ht="68.25" customHeight="1">
      <c r="A86" s="43">
        <v>66</v>
      </c>
      <c r="B86" s="33">
        <v>113</v>
      </c>
      <c r="C86" s="34" t="s">
        <v>107</v>
      </c>
      <c r="D86" s="37"/>
      <c r="E86" s="40" t="s">
        <v>63</v>
      </c>
      <c r="F86" s="46">
        <f>F87</f>
        <v>0.2</v>
      </c>
      <c r="G86" s="12"/>
    </row>
    <row r="87" spans="1:7" s="4" customFormat="1" ht="30.75" customHeight="1">
      <c r="A87" s="43">
        <v>67</v>
      </c>
      <c r="B87" s="36">
        <v>113</v>
      </c>
      <c r="C87" s="37" t="s">
        <v>107</v>
      </c>
      <c r="D87" s="37" t="s">
        <v>56</v>
      </c>
      <c r="E87" s="38" t="s">
        <v>162</v>
      </c>
      <c r="F87" s="47">
        <v>0.2</v>
      </c>
      <c r="G87" s="12"/>
    </row>
    <row r="88" spans="1:7" s="4" customFormat="1" ht="32.25" customHeight="1">
      <c r="A88" s="43">
        <v>68</v>
      </c>
      <c r="B88" s="33">
        <v>113</v>
      </c>
      <c r="C88" s="34" t="s">
        <v>108</v>
      </c>
      <c r="D88" s="37"/>
      <c r="E88" s="40" t="s">
        <v>64</v>
      </c>
      <c r="F88" s="46">
        <f>F89+F90</f>
        <v>115.2</v>
      </c>
      <c r="G88" s="12"/>
    </row>
    <row r="89" spans="1:7" s="4" customFormat="1" ht="28.5" customHeight="1">
      <c r="A89" s="43">
        <v>69</v>
      </c>
      <c r="B89" s="36">
        <v>113</v>
      </c>
      <c r="C89" s="37" t="s">
        <v>108</v>
      </c>
      <c r="D89" s="37" t="s">
        <v>45</v>
      </c>
      <c r="E89" s="38" t="s">
        <v>163</v>
      </c>
      <c r="F89" s="47">
        <f>85-10-3</f>
        <v>72</v>
      </c>
      <c r="G89" s="12"/>
    </row>
    <row r="90" spans="1:7" s="4" customFormat="1" ht="34.5" customHeight="1">
      <c r="A90" s="43">
        <v>70</v>
      </c>
      <c r="B90" s="36">
        <v>113</v>
      </c>
      <c r="C90" s="37" t="s">
        <v>108</v>
      </c>
      <c r="D90" s="37" t="s">
        <v>56</v>
      </c>
      <c r="E90" s="38" t="s">
        <v>162</v>
      </c>
      <c r="F90" s="47">
        <f>30.2+4.5+8.5</f>
        <v>43.2</v>
      </c>
      <c r="G90" s="12"/>
    </row>
    <row r="91" spans="1:7" s="4" customFormat="1" ht="27.75" customHeight="1">
      <c r="A91" s="43">
        <v>71</v>
      </c>
      <c r="B91" s="33">
        <v>113</v>
      </c>
      <c r="C91" s="34" t="s">
        <v>109</v>
      </c>
      <c r="D91" s="37"/>
      <c r="E91" s="40" t="s">
        <v>65</v>
      </c>
      <c r="F91" s="46">
        <f>F92</f>
        <v>0</v>
      </c>
      <c r="G91" s="12"/>
    </row>
    <row r="92" spans="1:7" s="5" customFormat="1" ht="34.5" customHeight="1">
      <c r="A92" s="43">
        <v>72</v>
      </c>
      <c r="B92" s="36">
        <v>113</v>
      </c>
      <c r="C92" s="37" t="s">
        <v>109</v>
      </c>
      <c r="D92" s="37" t="s">
        <v>56</v>
      </c>
      <c r="E92" s="38" t="s">
        <v>162</v>
      </c>
      <c r="F92" s="47">
        <f>50-50</f>
        <v>0</v>
      </c>
      <c r="G92" s="10"/>
    </row>
    <row r="93" spans="1:7" s="5" customFormat="1" ht="40.5" customHeight="1">
      <c r="A93" s="43">
        <v>73</v>
      </c>
      <c r="B93" s="36">
        <v>113</v>
      </c>
      <c r="C93" s="34" t="s">
        <v>154</v>
      </c>
      <c r="D93" s="37"/>
      <c r="E93" s="35" t="s">
        <v>404</v>
      </c>
      <c r="F93" s="46">
        <f>SUM(F94)</f>
        <v>3</v>
      </c>
      <c r="G93" s="10"/>
    </row>
    <row r="94" spans="1:7" s="5" customFormat="1" ht="34.5" customHeight="1">
      <c r="A94" s="43">
        <v>74</v>
      </c>
      <c r="B94" s="36">
        <v>113</v>
      </c>
      <c r="C94" s="34" t="s">
        <v>98</v>
      </c>
      <c r="D94" s="37"/>
      <c r="E94" s="35" t="s">
        <v>54</v>
      </c>
      <c r="F94" s="46">
        <f>SUM(F95)</f>
        <v>3</v>
      </c>
      <c r="G94" s="10"/>
    </row>
    <row r="95" spans="1:7" s="5" customFormat="1" ht="34.5" customHeight="1">
      <c r="A95" s="43">
        <v>75</v>
      </c>
      <c r="B95" s="36">
        <v>113</v>
      </c>
      <c r="C95" s="37" t="s">
        <v>98</v>
      </c>
      <c r="D95" s="37" t="s">
        <v>56</v>
      </c>
      <c r="E95" s="38" t="s">
        <v>162</v>
      </c>
      <c r="F95" s="47">
        <f>6-3</f>
        <v>3</v>
      </c>
      <c r="G95" s="10"/>
    </row>
    <row r="96" spans="1:7" s="4" customFormat="1" ht="40.5" customHeight="1">
      <c r="A96" s="43">
        <v>76</v>
      </c>
      <c r="B96" s="33">
        <v>113</v>
      </c>
      <c r="C96" s="34" t="s">
        <v>110</v>
      </c>
      <c r="D96" s="34"/>
      <c r="E96" s="40" t="s">
        <v>352</v>
      </c>
      <c r="F96" s="46">
        <f>SUM(F97)</f>
        <v>114.1</v>
      </c>
      <c r="G96" s="12"/>
    </row>
    <row r="97" spans="1:8" s="4" customFormat="1" ht="54.75" customHeight="1">
      <c r="A97" s="43">
        <v>77</v>
      </c>
      <c r="B97" s="33">
        <v>113</v>
      </c>
      <c r="C97" s="34" t="s">
        <v>111</v>
      </c>
      <c r="D97" s="34"/>
      <c r="E97" s="40" t="s">
        <v>241</v>
      </c>
      <c r="F97" s="46">
        <f>SUM(F98:F99)</f>
        <v>114.1</v>
      </c>
      <c r="G97" s="12"/>
    </row>
    <row r="98" spans="1:8" s="4" customFormat="1" ht="24.75" customHeight="1">
      <c r="A98" s="43">
        <v>78</v>
      </c>
      <c r="B98" s="36">
        <v>113</v>
      </c>
      <c r="C98" s="37" t="s">
        <v>111</v>
      </c>
      <c r="D98" s="37" t="s">
        <v>45</v>
      </c>
      <c r="E98" s="38" t="s">
        <v>163</v>
      </c>
      <c r="F98" s="47">
        <f>101-3-2-50-2.4-3</f>
        <v>40.6</v>
      </c>
      <c r="G98" s="12"/>
    </row>
    <row r="99" spans="1:8" s="4" customFormat="1" ht="29.25" customHeight="1">
      <c r="A99" s="43" t="s">
        <v>494</v>
      </c>
      <c r="B99" s="36">
        <v>113</v>
      </c>
      <c r="C99" s="37" t="s">
        <v>111</v>
      </c>
      <c r="D99" s="37" t="s">
        <v>56</v>
      </c>
      <c r="E99" s="38" t="s">
        <v>162</v>
      </c>
      <c r="F99" s="47">
        <f>98.5-23-2</f>
        <v>73.5</v>
      </c>
      <c r="G99" s="12"/>
    </row>
    <row r="100" spans="1:8" s="4" customFormat="1" ht="18.75" customHeight="1">
      <c r="A100" s="43">
        <v>79</v>
      </c>
      <c r="B100" s="33">
        <v>113</v>
      </c>
      <c r="C100" s="34" t="s">
        <v>96</v>
      </c>
      <c r="D100" s="37"/>
      <c r="E100" s="35" t="s">
        <v>53</v>
      </c>
      <c r="F100" s="46">
        <f>F101+F103+F105</f>
        <v>277.2</v>
      </c>
      <c r="G100" s="12"/>
    </row>
    <row r="101" spans="1:8" s="4" customFormat="1" ht="33" customHeight="1">
      <c r="A101" s="43">
        <v>80</v>
      </c>
      <c r="B101" s="33">
        <v>113</v>
      </c>
      <c r="C101" s="34" t="s">
        <v>492</v>
      </c>
      <c r="D101" s="37"/>
      <c r="E101" s="35" t="s">
        <v>493</v>
      </c>
      <c r="F101" s="46">
        <f>SUM(F102)</f>
        <v>21.3</v>
      </c>
      <c r="G101" s="12"/>
    </row>
    <row r="102" spans="1:8" s="4" customFormat="1" ht="30" customHeight="1">
      <c r="A102" s="43" t="s">
        <v>495</v>
      </c>
      <c r="B102" s="36">
        <v>113</v>
      </c>
      <c r="C102" s="37" t="s">
        <v>492</v>
      </c>
      <c r="D102" s="37" t="s">
        <v>56</v>
      </c>
      <c r="E102" s="38" t="s">
        <v>162</v>
      </c>
      <c r="F102" s="47">
        <v>21.3</v>
      </c>
      <c r="G102" s="12"/>
    </row>
    <row r="103" spans="1:8" s="4" customFormat="1" ht="30" customHeight="1">
      <c r="A103" s="43">
        <v>81</v>
      </c>
      <c r="B103" s="33">
        <v>113</v>
      </c>
      <c r="C103" s="34" t="s">
        <v>95</v>
      </c>
      <c r="D103" s="34"/>
      <c r="E103" s="35" t="s">
        <v>54</v>
      </c>
      <c r="F103" s="46">
        <f>SUM(F104)</f>
        <v>9.6999999999999993</v>
      </c>
      <c r="G103" s="12"/>
    </row>
    <row r="104" spans="1:8" s="4" customFormat="1" ht="28.5" customHeight="1">
      <c r="A104" s="43">
        <v>82</v>
      </c>
      <c r="B104" s="36">
        <v>113</v>
      </c>
      <c r="C104" s="37" t="s">
        <v>95</v>
      </c>
      <c r="D104" s="37" t="s">
        <v>45</v>
      </c>
      <c r="E104" s="38" t="s">
        <v>163</v>
      </c>
      <c r="F104" s="47">
        <f>12+3.7-6</f>
        <v>9.6999999999999993</v>
      </c>
      <c r="G104" s="12"/>
      <c r="H104" s="41"/>
    </row>
    <row r="105" spans="1:8" s="4" customFormat="1" ht="21" customHeight="1">
      <c r="A105" s="43">
        <v>83</v>
      </c>
      <c r="B105" s="33">
        <v>113</v>
      </c>
      <c r="C105" s="34" t="s">
        <v>420</v>
      </c>
      <c r="D105" s="37"/>
      <c r="E105" s="35" t="s">
        <v>419</v>
      </c>
      <c r="F105" s="46">
        <f>SUM(F106)</f>
        <v>246.2</v>
      </c>
      <c r="G105" s="12"/>
      <c r="H105" s="41"/>
    </row>
    <row r="106" spans="1:8" s="4" customFormat="1" ht="17.25" customHeight="1">
      <c r="A106" s="43">
        <v>84</v>
      </c>
      <c r="B106" s="36">
        <v>113</v>
      </c>
      <c r="C106" s="37" t="s">
        <v>420</v>
      </c>
      <c r="D106" s="37" t="s">
        <v>394</v>
      </c>
      <c r="E106" s="38" t="s">
        <v>419</v>
      </c>
      <c r="F106" s="47">
        <f>134.7+54+1.3+56.2</f>
        <v>246.2</v>
      </c>
      <c r="G106" s="12"/>
      <c r="H106" s="41"/>
    </row>
    <row r="107" spans="1:8" ht="15.75" customHeight="1">
      <c r="A107" s="43">
        <v>85</v>
      </c>
      <c r="B107" s="33">
        <v>200</v>
      </c>
      <c r="C107" s="34"/>
      <c r="D107" s="34"/>
      <c r="E107" s="53" t="s">
        <v>8</v>
      </c>
      <c r="F107" s="46">
        <f t="shared" ref="F107:G109" si="7">F108</f>
        <v>336.44</v>
      </c>
      <c r="G107" s="10">
        <f t="shared" si="7"/>
        <v>1189</v>
      </c>
    </row>
    <row r="108" spans="1:8" ht="12.75" customHeight="1">
      <c r="A108" s="43">
        <v>86</v>
      </c>
      <c r="B108" s="33">
        <v>203</v>
      </c>
      <c r="C108" s="34"/>
      <c r="D108" s="34"/>
      <c r="E108" s="35" t="s">
        <v>9</v>
      </c>
      <c r="F108" s="46">
        <f t="shared" si="7"/>
        <v>336.44</v>
      </c>
      <c r="G108" s="10">
        <f t="shared" si="7"/>
        <v>1189</v>
      </c>
    </row>
    <row r="109" spans="1:8" ht="12.75" customHeight="1">
      <c r="A109" s="43">
        <v>87</v>
      </c>
      <c r="B109" s="33">
        <v>203</v>
      </c>
      <c r="C109" s="34" t="s">
        <v>96</v>
      </c>
      <c r="D109" s="34"/>
      <c r="E109" s="35" t="s">
        <v>53</v>
      </c>
      <c r="F109" s="46">
        <f t="shared" si="7"/>
        <v>336.44</v>
      </c>
      <c r="G109" s="10">
        <f t="shared" si="7"/>
        <v>1189</v>
      </c>
    </row>
    <row r="110" spans="1:8" ht="25.5" customHeight="1">
      <c r="A110" s="43">
        <v>88</v>
      </c>
      <c r="B110" s="33">
        <v>203</v>
      </c>
      <c r="C110" s="34" t="s">
        <v>149</v>
      </c>
      <c r="D110" s="34"/>
      <c r="E110" s="35" t="s">
        <v>38</v>
      </c>
      <c r="F110" s="46">
        <f>F111+F112</f>
        <v>336.44</v>
      </c>
      <c r="G110" s="13">
        <f>G111</f>
        <v>1189</v>
      </c>
    </row>
    <row r="111" spans="1:8" ht="30.75" customHeight="1">
      <c r="A111" s="43">
        <v>89</v>
      </c>
      <c r="B111" s="36">
        <v>203</v>
      </c>
      <c r="C111" s="37" t="s">
        <v>149</v>
      </c>
      <c r="D111" s="37" t="s">
        <v>45</v>
      </c>
      <c r="E111" s="38" t="s">
        <v>163</v>
      </c>
      <c r="F111" s="47">
        <f>308.8+2+10.6-2.3-1.6-0.4+0.07-1.6-0.5-0.5+0.4-0.9-0.9-2.9+2.9+0.2</f>
        <v>313.37</v>
      </c>
      <c r="G111" s="11">
        <v>1189</v>
      </c>
    </row>
    <row r="112" spans="1:8" ht="29.25" customHeight="1">
      <c r="A112" s="43">
        <v>90</v>
      </c>
      <c r="B112" s="36">
        <v>203</v>
      </c>
      <c r="C112" s="37" t="s">
        <v>149</v>
      </c>
      <c r="D112" s="37" t="s">
        <v>56</v>
      </c>
      <c r="E112" s="38" t="s">
        <v>162</v>
      </c>
      <c r="F112" s="47">
        <f>27.6-2-0.3-2-0.03-0.2</f>
        <v>23.07</v>
      </c>
      <c r="G112" s="11"/>
    </row>
    <row r="113" spans="1:7" ht="31.5" customHeight="1">
      <c r="A113" s="43">
        <v>91</v>
      </c>
      <c r="B113" s="33">
        <v>300</v>
      </c>
      <c r="C113" s="34"/>
      <c r="D113" s="34"/>
      <c r="E113" s="53" t="s">
        <v>10</v>
      </c>
      <c r="F113" s="46">
        <f>SUM(F114+F122)</f>
        <v>24293.469999999998</v>
      </c>
      <c r="G113" s="10" t="e">
        <f>G114+#REF!+#REF!</f>
        <v>#REF!</v>
      </c>
    </row>
    <row r="114" spans="1:7" ht="22.5" customHeight="1">
      <c r="A114" s="43">
        <v>92</v>
      </c>
      <c r="B114" s="33">
        <v>309</v>
      </c>
      <c r="C114" s="34"/>
      <c r="D114" s="34"/>
      <c r="E114" s="35" t="s">
        <v>286</v>
      </c>
      <c r="F114" s="46">
        <f>SUM(F115)</f>
        <v>432.8</v>
      </c>
      <c r="G114" s="10" t="e">
        <f>G115+#REF!</f>
        <v>#REF!</v>
      </c>
    </row>
    <row r="115" spans="1:7" ht="40.5" customHeight="1">
      <c r="A115" s="43">
        <v>93</v>
      </c>
      <c r="B115" s="33">
        <v>309</v>
      </c>
      <c r="C115" s="34" t="s">
        <v>113</v>
      </c>
      <c r="D115" s="34"/>
      <c r="E115" s="35" t="s">
        <v>255</v>
      </c>
      <c r="F115" s="46">
        <f>SUM(F116+F118+F120)</f>
        <v>432.8</v>
      </c>
      <c r="G115" s="10">
        <f>G116</f>
        <v>477.6</v>
      </c>
    </row>
    <row r="116" spans="1:7" ht="27" customHeight="1">
      <c r="A116" s="43">
        <v>94</v>
      </c>
      <c r="B116" s="33">
        <v>309</v>
      </c>
      <c r="C116" s="34" t="s">
        <v>114</v>
      </c>
      <c r="D116" s="34"/>
      <c r="E116" s="35" t="s">
        <v>89</v>
      </c>
      <c r="F116" s="46">
        <f>F117</f>
        <v>350.40000000000003</v>
      </c>
      <c r="G116" s="10">
        <f>G117</f>
        <v>477.6</v>
      </c>
    </row>
    <row r="117" spans="1:7" ht="27" customHeight="1">
      <c r="A117" s="43">
        <v>95</v>
      </c>
      <c r="B117" s="36">
        <v>309</v>
      </c>
      <c r="C117" s="37" t="s">
        <v>114</v>
      </c>
      <c r="D117" s="37" t="s">
        <v>56</v>
      </c>
      <c r="E117" s="38" t="s">
        <v>162</v>
      </c>
      <c r="F117" s="47">
        <f>370.1-19.7</f>
        <v>350.40000000000003</v>
      </c>
      <c r="G117" s="11">
        <v>477.6</v>
      </c>
    </row>
    <row r="118" spans="1:7" ht="27" customHeight="1">
      <c r="A118" s="43">
        <v>96</v>
      </c>
      <c r="B118" s="33">
        <v>309</v>
      </c>
      <c r="C118" s="34" t="s">
        <v>387</v>
      </c>
      <c r="D118" s="37"/>
      <c r="E118" s="35" t="s">
        <v>388</v>
      </c>
      <c r="F118" s="46">
        <f>F119</f>
        <v>69.2</v>
      </c>
      <c r="G118" s="11"/>
    </row>
    <row r="119" spans="1:7" ht="27" customHeight="1">
      <c r="A119" s="43">
        <v>97</v>
      </c>
      <c r="B119" s="36">
        <v>309</v>
      </c>
      <c r="C119" s="37" t="s">
        <v>387</v>
      </c>
      <c r="D119" s="37" t="s">
        <v>56</v>
      </c>
      <c r="E119" s="38" t="s">
        <v>162</v>
      </c>
      <c r="F119" s="47">
        <v>69.2</v>
      </c>
      <c r="G119" s="11"/>
    </row>
    <row r="120" spans="1:7" ht="27" customHeight="1">
      <c r="A120" s="43">
        <v>98</v>
      </c>
      <c r="B120" s="33">
        <v>309</v>
      </c>
      <c r="C120" s="34" t="s">
        <v>389</v>
      </c>
      <c r="D120" s="37"/>
      <c r="E120" s="35" t="s">
        <v>390</v>
      </c>
      <c r="F120" s="46">
        <f>F121</f>
        <v>13.2</v>
      </c>
      <c r="G120" s="11"/>
    </row>
    <row r="121" spans="1:7" ht="27" customHeight="1">
      <c r="A121" s="43">
        <v>99</v>
      </c>
      <c r="B121" s="36">
        <v>309</v>
      </c>
      <c r="C121" s="37" t="s">
        <v>389</v>
      </c>
      <c r="D121" s="37" t="s">
        <v>56</v>
      </c>
      <c r="E121" s="38" t="s">
        <v>162</v>
      </c>
      <c r="F121" s="47">
        <v>13.2</v>
      </c>
      <c r="G121" s="11"/>
    </row>
    <row r="122" spans="1:7" ht="28.5" customHeight="1">
      <c r="A122" s="43">
        <v>100</v>
      </c>
      <c r="B122" s="33">
        <v>310</v>
      </c>
      <c r="C122" s="37"/>
      <c r="D122" s="37"/>
      <c r="E122" s="35" t="s">
        <v>287</v>
      </c>
      <c r="F122" s="46">
        <f>SUM(F123+F131+F141)</f>
        <v>23860.67</v>
      </c>
      <c r="G122" s="11"/>
    </row>
    <row r="123" spans="1:7" ht="38.25" customHeight="1">
      <c r="A123" s="43">
        <v>101</v>
      </c>
      <c r="B123" s="33">
        <v>310</v>
      </c>
      <c r="C123" s="34" t="s">
        <v>101</v>
      </c>
      <c r="D123" s="37"/>
      <c r="E123" s="35" t="s">
        <v>274</v>
      </c>
      <c r="F123" s="46">
        <f>SUM(F124+F127+F129)</f>
        <v>6632.2699999999977</v>
      </c>
      <c r="G123" s="11"/>
    </row>
    <row r="124" spans="1:7" ht="39" customHeight="1">
      <c r="A124" s="43">
        <v>102</v>
      </c>
      <c r="B124" s="33">
        <v>310</v>
      </c>
      <c r="C124" s="34" t="s">
        <v>115</v>
      </c>
      <c r="D124" s="37"/>
      <c r="E124" s="35" t="s">
        <v>66</v>
      </c>
      <c r="F124" s="46">
        <f>SUM(F125:F126)</f>
        <v>6543.9699999999984</v>
      </c>
      <c r="G124" s="11"/>
    </row>
    <row r="125" spans="1:7" ht="25.5" customHeight="1">
      <c r="A125" s="43">
        <v>103</v>
      </c>
      <c r="B125" s="36">
        <v>310</v>
      </c>
      <c r="C125" s="37" t="s">
        <v>115</v>
      </c>
      <c r="D125" s="37" t="s">
        <v>39</v>
      </c>
      <c r="E125" s="38" t="s">
        <v>40</v>
      </c>
      <c r="F125" s="47">
        <f>6597-500-400-225-83.6-8.6+85-84.6-124.7+38.9</f>
        <v>5294.3999999999987</v>
      </c>
      <c r="G125" s="11"/>
    </row>
    <row r="126" spans="1:7" ht="30" customHeight="1">
      <c r="A126" s="43">
        <v>104</v>
      </c>
      <c r="B126" s="36">
        <v>310</v>
      </c>
      <c r="C126" s="37" t="s">
        <v>115</v>
      </c>
      <c r="D126" s="37" t="s">
        <v>56</v>
      </c>
      <c r="E126" s="38" t="s">
        <v>162</v>
      </c>
      <c r="F126" s="47">
        <f>443+500+50+6.4+29.6+220.5+0.07</f>
        <v>1249.57</v>
      </c>
      <c r="G126" s="11"/>
    </row>
    <row r="127" spans="1:7" ht="93" customHeight="1">
      <c r="A127" s="43">
        <v>105</v>
      </c>
      <c r="B127" s="33">
        <v>310</v>
      </c>
      <c r="C127" s="34" t="s">
        <v>452</v>
      </c>
      <c r="D127" s="37"/>
      <c r="E127" s="35" t="s">
        <v>490</v>
      </c>
      <c r="F127" s="46">
        <f>SUM(F128)</f>
        <v>21.4</v>
      </c>
      <c r="G127" s="11"/>
    </row>
    <row r="128" spans="1:7" ht="21" customHeight="1">
      <c r="A128" s="43" t="s">
        <v>548</v>
      </c>
      <c r="B128" s="36">
        <v>310</v>
      </c>
      <c r="C128" s="37" t="s">
        <v>452</v>
      </c>
      <c r="D128" s="37" t="s">
        <v>39</v>
      </c>
      <c r="E128" s="38" t="s">
        <v>40</v>
      </c>
      <c r="F128" s="47">
        <v>21.4</v>
      </c>
      <c r="G128" s="11"/>
    </row>
    <row r="129" spans="1:8" ht="26.25" customHeight="1">
      <c r="A129" s="43">
        <v>106</v>
      </c>
      <c r="B129" s="33">
        <v>310</v>
      </c>
      <c r="C129" s="34" t="s">
        <v>550</v>
      </c>
      <c r="D129" s="37"/>
      <c r="E129" s="35" t="s">
        <v>551</v>
      </c>
      <c r="F129" s="46">
        <f>SUM(F130)</f>
        <v>66.900000000000006</v>
      </c>
      <c r="G129" s="11"/>
    </row>
    <row r="130" spans="1:8" ht="26.25" customHeight="1">
      <c r="A130" s="43" t="s">
        <v>549</v>
      </c>
      <c r="B130" s="36">
        <v>310</v>
      </c>
      <c r="C130" s="37" t="s">
        <v>550</v>
      </c>
      <c r="D130" s="37" t="s">
        <v>56</v>
      </c>
      <c r="E130" s="38" t="s">
        <v>162</v>
      </c>
      <c r="F130" s="90">
        <v>66.900000000000006</v>
      </c>
      <c r="G130" s="11"/>
    </row>
    <row r="131" spans="1:8" ht="42.75" customHeight="1">
      <c r="A131" s="43">
        <v>107</v>
      </c>
      <c r="B131" s="33">
        <v>310</v>
      </c>
      <c r="C131" s="34" t="s">
        <v>116</v>
      </c>
      <c r="D131" s="34"/>
      <c r="E131" s="35" t="s">
        <v>275</v>
      </c>
      <c r="F131" s="46">
        <f>SUM(F132)</f>
        <v>7858.4</v>
      </c>
      <c r="G131" s="11"/>
    </row>
    <row r="132" spans="1:8" ht="28.5" customHeight="1">
      <c r="A132" s="43">
        <v>108</v>
      </c>
      <c r="B132" s="33">
        <v>310</v>
      </c>
      <c r="C132" s="34" t="s">
        <v>256</v>
      </c>
      <c r="D132" s="34"/>
      <c r="E132" s="42" t="s">
        <v>288</v>
      </c>
      <c r="F132" s="46">
        <f>SUM(F133+F135+F137+F139)</f>
        <v>7858.4</v>
      </c>
      <c r="G132" s="11"/>
    </row>
    <row r="133" spans="1:8" ht="42.75" customHeight="1">
      <c r="A133" s="43">
        <v>109</v>
      </c>
      <c r="B133" s="33">
        <v>310</v>
      </c>
      <c r="C133" s="34" t="s">
        <v>117</v>
      </c>
      <c r="D133" s="34"/>
      <c r="E133" s="35" t="s">
        <v>165</v>
      </c>
      <c r="F133" s="46">
        <f>SUM(F134:F134)</f>
        <v>7239.7</v>
      </c>
      <c r="G133" s="11"/>
    </row>
    <row r="134" spans="1:8" ht="40.5" customHeight="1">
      <c r="A134" s="43">
        <v>110</v>
      </c>
      <c r="B134" s="36">
        <v>310</v>
      </c>
      <c r="C134" s="37" t="s">
        <v>117</v>
      </c>
      <c r="D134" s="37" t="s">
        <v>180</v>
      </c>
      <c r="E134" s="54" t="s">
        <v>257</v>
      </c>
      <c r="F134" s="47">
        <f>5353+1520+366.7</f>
        <v>7239.7</v>
      </c>
      <c r="G134" s="11"/>
    </row>
    <row r="135" spans="1:8" ht="32.25" customHeight="1">
      <c r="A135" s="43">
        <v>111</v>
      </c>
      <c r="B135" s="33">
        <v>310</v>
      </c>
      <c r="C135" s="34" t="s">
        <v>334</v>
      </c>
      <c r="D135" s="37"/>
      <c r="E135" s="35" t="s">
        <v>335</v>
      </c>
      <c r="F135" s="46">
        <v>24</v>
      </c>
      <c r="G135" s="11"/>
    </row>
    <row r="136" spans="1:8" ht="45" customHeight="1">
      <c r="A136" s="43">
        <v>112</v>
      </c>
      <c r="B136" s="36">
        <v>310</v>
      </c>
      <c r="C136" s="37" t="s">
        <v>334</v>
      </c>
      <c r="D136" s="37" t="s">
        <v>180</v>
      </c>
      <c r="E136" s="54" t="s">
        <v>257</v>
      </c>
      <c r="F136" s="47">
        <v>24</v>
      </c>
      <c r="G136" s="11"/>
    </row>
    <row r="137" spans="1:8" ht="36" customHeight="1">
      <c r="A137" s="43">
        <v>113</v>
      </c>
      <c r="B137" s="33">
        <v>310</v>
      </c>
      <c r="C137" s="34" t="s">
        <v>118</v>
      </c>
      <c r="D137" s="34"/>
      <c r="E137" s="55" t="s">
        <v>260</v>
      </c>
      <c r="F137" s="46">
        <f>SUM(F138)</f>
        <v>395.4</v>
      </c>
      <c r="G137" s="11"/>
    </row>
    <row r="138" spans="1:8" ht="29.25" customHeight="1">
      <c r="A138" s="43">
        <v>114</v>
      </c>
      <c r="B138" s="36">
        <v>310</v>
      </c>
      <c r="C138" s="37" t="s">
        <v>118</v>
      </c>
      <c r="D138" s="37" t="s">
        <v>56</v>
      </c>
      <c r="E138" s="38" t="s">
        <v>162</v>
      </c>
      <c r="F138" s="47">
        <f>231+40+69.3+15.4+11.1+40-0.3-11.1</f>
        <v>395.4</v>
      </c>
      <c r="G138" s="11"/>
      <c r="H138" s="39"/>
    </row>
    <row r="139" spans="1:8" ht="40.5" customHeight="1">
      <c r="A139" s="43">
        <v>115</v>
      </c>
      <c r="B139" s="33">
        <v>310</v>
      </c>
      <c r="C139" s="34" t="s">
        <v>258</v>
      </c>
      <c r="D139" s="34"/>
      <c r="E139" s="35" t="s">
        <v>259</v>
      </c>
      <c r="F139" s="46">
        <f>SUM(F140)</f>
        <v>199.29999999999998</v>
      </c>
      <c r="G139" s="11"/>
      <c r="H139" s="32"/>
    </row>
    <row r="140" spans="1:8" ht="29.25" customHeight="1">
      <c r="A140" s="43">
        <v>116</v>
      </c>
      <c r="B140" s="36">
        <v>310</v>
      </c>
      <c r="C140" s="37" t="s">
        <v>258</v>
      </c>
      <c r="D140" s="37" t="s">
        <v>56</v>
      </c>
      <c r="E140" s="38" t="s">
        <v>162</v>
      </c>
      <c r="F140" s="47">
        <f>127-127+127+57.6+14.7</f>
        <v>199.29999999999998</v>
      </c>
      <c r="G140" s="11"/>
      <c r="H140" s="32"/>
    </row>
    <row r="141" spans="1:8" ht="18" customHeight="1">
      <c r="A141" s="43">
        <v>117</v>
      </c>
      <c r="B141" s="33">
        <v>310</v>
      </c>
      <c r="C141" s="34" t="s">
        <v>96</v>
      </c>
      <c r="D141" s="34"/>
      <c r="E141" s="35" t="s">
        <v>53</v>
      </c>
      <c r="F141" s="46">
        <f>SUM(F142)</f>
        <v>9370</v>
      </c>
      <c r="G141" s="11"/>
      <c r="H141" s="39"/>
    </row>
    <row r="142" spans="1:8" ht="29.25" customHeight="1">
      <c r="A142" s="43">
        <v>118</v>
      </c>
      <c r="B142" s="33">
        <v>310</v>
      </c>
      <c r="C142" s="34" t="s">
        <v>433</v>
      </c>
      <c r="D142" s="37"/>
      <c r="E142" s="35" t="s">
        <v>434</v>
      </c>
      <c r="F142" s="46">
        <f>SUM(F143+F144)</f>
        <v>9370</v>
      </c>
      <c r="G142" s="11"/>
      <c r="H142" s="39"/>
    </row>
    <row r="143" spans="1:8" ht="29.25" customHeight="1">
      <c r="A143" s="43">
        <v>119</v>
      </c>
      <c r="B143" s="36">
        <v>310</v>
      </c>
      <c r="C143" s="37" t="s">
        <v>433</v>
      </c>
      <c r="D143" s="37" t="s">
        <v>56</v>
      </c>
      <c r="E143" s="38" t="s">
        <v>162</v>
      </c>
      <c r="F143" s="47">
        <v>3000</v>
      </c>
      <c r="G143" s="11"/>
      <c r="H143" s="39"/>
    </row>
    <row r="144" spans="1:8" ht="29.25" customHeight="1">
      <c r="A144" s="43">
        <v>120</v>
      </c>
      <c r="B144" s="36">
        <v>310</v>
      </c>
      <c r="C144" s="37" t="s">
        <v>433</v>
      </c>
      <c r="D144" s="37" t="s">
        <v>43</v>
      </c>
      <c r="E144" s="38" t="s">
        <v>302</v>
      </c>
      <c r="F144" s="47">
        <f>4510+990+1100-440+110+100</f>
        <v>6370</v>
      </c>
      <c r="G144" s="11"/>
      <c r="H144" s="39"/>
    </row>
    <row r="145" spans="1:7" ht="21.75" customHeight="1">
      <c r="A145" s="43">
        <v>121</v>
      </c>
      <c r="B145" s="33">
        <v>400</v>
      </c>
      <c r="C145" s="34"/>
      <c r="D145" s="34"/>
      <c r="E145" s="53" t="s">
        <v>11</v>
      </c>
      <c r="F145" s="46">
        <f>SUM(F146+F158+F163+F169+F190+F194)</f>
        <v>89947.4</v>
      </c>
      <c r="G145" s="10"/>
    </row>
    <row r="146" spans="1:7" ht="21.75" customHeight="1">
      <c r="A146" s="43">
        <v>122</v>
      </c>
      <c r="B146" s="33">
        <v>405</v>
      </c>
      <c r="C146" s="34"/>
      <c r="D146" s="34"/>
      <c r="E146" s="35" t="s">
        <v>150</v>
      </c>
      <c r="F146" s="46">
        <f>SUM(F147+F150+F155)</f>
        <v>1325.8999999999999</v>
      </c>
      <c r="G146" s="10"/>
    </row>
    <row r="147" spans="1:7" ht="45" customHeight="1">
      <c r="A147" s="43">
        <v>123</v>
      </c>
      <c r="B147" s="33">
        <v>405</v>
      </c>
      <c r="C147" s="44" t="s">
        <v>125</v>
      </c>
      <c r="D147" s="44"/>
      <c r="E147" s="35" t="s">
        <v>353</v>
      </c>
      <c r="F147" s="46">
        <f>SUM(F148)</f>
        <v>6.8</v>
      </c>
      <c r="G147" s="10"/>
    </row>
    <row r="148" spans="1:7" ht="32.25" customHeight="1">
      <c r="A148" s="43">
        <v>124</v>
      </c>
      <c r="B148" s="33">
        <v>405</v>
      </c>
      <c r="C148" s="44" t="s">
        <v>127</v>
      </c>
      <c r="D148" s="44"/>
      <c r="E148" s="42" t="s">
        <v>279</v>
      </c>
      <c r="F148" s="46">
        <f>SUM(F149)</f>
        <v>6.8</v>
      </c>
      <c r="G148" s="10"/>
    </row>
    <row r="149" spans="1:7" ht="33" customHeight="1">
      <c r="A149" s="43">
        <v>125</v>
      </c>
      <c r="B149" s="36">
        <v>405</v>
      </c>
      <c r="C149" s="45" t="s">
        <v>127</v>
      </c>
      <c r="D149" s="45" t="s">
        <v>56</v>
      </c>
      <c r="E149" s="38" t="s">
        <v>162</v>
      </c>
      <c r="F149" s="47">
        <f>8-1.2</f>
        <v>6.8</v>
      </c>
      <c r="G149" s="10"/>
    </row>
    <row r="150" spans="1:7" ht="45" customHeight="1">
      <c r="A150" s="43">
        <v>126</v>
      </c>
      <c r="B150" s="33">
        <v>405</v>
      </c>
      <c r="C150" s="34" t="s">
        <v>192</v>
      </c>
      <c r="D150" s="34"/>
      <c r="E150" s="35" t="s">
        <v>385</v>
      </c>
      <c r="F150" s="46">
        <f>SUM(F151+F153)</f>
        <v>122.3</v>
      </c>
      <c r="G150" s="10"/>
    </row>
    <row r="151" spans="1:7" ht="48.75" customHeight="1">
      <c r="A151" s="43">
        <v>127</v>
      </c>
      <c r="B151" s="33">
        <v>405</v>
      </c>
      <c r="C151" s="34" t="s">
        <v>151</v>
      </c>
      <c r="D151" s="34"/>
      <c r="E151" s="42" t="s">
        <v>315</v>
      </c>
      <c r="F151" s="46">
        <f>SUM(F152)</f>
        <v>115.8</v>
      </c>
      <c r="G151" s="10"/>
    </row>
    <row r="152" spans="1:7" ht="29.25" customHeight="1">
      <c r="A152" s="43">
        <v>128</v>
      </c>
      <c r="B152" s="36">
        <v>405</v>
      </c>
      <c r="C152" s="37" t="s">
        <v>151</v>
      </c>
      <c r="D152" s="37" t="s">
        <v>56</v>
      </c>
      <c r="E152" s="38" t="s">
        <v>162</v>
      </c>
      <c r="F152" s="47">
        <v>115.8</v>
      </c>
      <c r="G152" s="10"/>
    </row>
    <row r="153" spans="1:7" ht="56.25" customHeight="1">
      <c r="A153" s="43">
        <v>129</v>
      </c>
      <c r="B153" s="36">
        <v>405</v>
      </c>
      <c r="C153" s="37" t="s">
        <v>320</v>
      </c>
      <c r="D153" s="37"/>
      <c r="E153" s="35" t="s">
        <v>319</v>
      </c>
      <c r="F153" s="46">
        <f>SUM(F154)</f>
        <v>6.5</v>
      </c>
      <c r="G153" s="10"/>
    </row>
    <row r="154" spans="1:7" ht="29.25" customHeight="1">
      <c r="A154" s="43" t="s">
        <v>501</v>
      </c>
      <c r="B154" s="36">
        <v>405</v>
      </c>
      <c r="C154" s="37" t="s">
        <v>320</v>
      </c>
      <c r="D154" s="37" t="s">
        <v>56</v>
      </c>
      <c r="E154" s="38" t="s">
        <v>162</v>
      </c>
      <c r="F154" s="47">
        <v>6.5</v>
      </c>
      <c r="G154" s="10"/>
    </row>
    <row r="155" spans="1:7" ht="40.5" customHeight="1">
      <c r="A155" s="43">
        <v>130</v>
      </c>
      <c r="B155" s="33">
        <v>405</v>
      </c>
      <c r="C155" s="34" t="s">
        <v>102</v>
      </c>
      <c r="D155" s="37"/>
      <c r="E155" s="35" t="s">
        <v>504</v>
      </c>
      <c r="F155" s="46">
        <f>SUM(F156)</f>
        <v>1196.8</v>
      </c>
      <c r="G155" s="10"/>
    </row>
    <row r="156" spans="1:7" ht="29.25" customHeight="1">
      <c r="A156" s="43" t="s">
        <v>500</v>
      </c>
      <c r="B156" s="33">
        <v>405</v>
      </c>
      <c r="C156" s="34" t="s">
        <v>502</v>
      </c>
      <c r="D156" s="37"/>
      <c r="E156" s="35" t="s">
        <v>503</v>
      </c>
      <c r="F156" s="46">
        <f>SUM(F157)</f>
        <v>1196.8</v>
      </c>
      <c r="G156" s="10"/>
    </row>
    <row r="157" spans="1:7" ht="29.25" customHeight="1">
      <c r="A157" s="43" t="s">
        <v>505</v>
      </c>
      <c r="B157" s="36">
        <v>405</v>
      </c>
      <c r="C157" s="37" t="s">
        <v>502</v>
      </c>
      <c r="D157" s="37" t="s">
        <v>56</v>
      </c>
      <c r="E157" s="38" t="s">
        <v>162</v>
      </c>
      <c r="F157" s="90">
        <f>174.8+1022</f>
        <v>1196.8</v>
      </c>
      <c r="G157" s="10"/>
    </row>
    <row r="158" spans="1:7" ht="29.25" customHeight="1">
      <c r="A158" s="43">
        <v>131</v>
      </c>
      <c r="B158" s="33">
        <v>406</v>
      </c>
      <c r="C158" s="34"/>
      <c r="D158" s="34"/>
      <c r="E158" s="56" t="s">
        <v>289</v>
      </c>
      <c r="F158" s="46">
        <f>SUM(F159)</f>
        <v>29.8</v>
      </c>
      <c r="G158" s="10"/>
    </row>
    <row r="159" spans="1:7" ht="42.75" customHeight="1">
      <c r="A159" s="43">
        <v>132</v>
      </c>
      <c r="B159" s="33">
        <v>406</v>
      </c>
      <c r="C159" s="34" t="s">
        <v>116</v>
      </c>
      <c r="D159" s="34"/>
      <c r="E159" s="35" t="s">
        <v>275</v>
      </c>
      <c r="F159" s="46">
        <f>SUM(F160)</f>
        <v>29.8</v>
      </c>
      <c r="G159" s="10"/>
    </row>
    <row r="160" spans="1:7" ht="36.75" customHeight="1">
      <c r="A160" s="43">
        <v>133</v>
      </c>
      <c r="B160" s="33">
        <v>406</v>
      </c>
      <c r="C160" s="34" t="s">
        <v>256</v>
      </c>
      <c r="D160" s="34"/>
      <c r="E160" s="42" t="s">
        <v>288</v>
      </c>
      <c r="F160" s="46">
        <f>SUM(F161)</f>
        <v>29.8</v>
      </c>
      <c r="G160" s="10"/>
    </row>
    <row r="161" spans="1:7" ht="21" customHeight="1">
      <c r="A161" s="43">
        <v>134</v>
      </c>
      <c r="B161" s="33">
        <v>406</v>
      </c>
      <c r="C161" s="34" t="s">
        <v>291</v>
      </c>
      <c r="D161" s="34"/>
      <c r="E161" s="57" t="s">
        <v>290</v>
      </c>
      <c r="F161" s="46">
        <f>SUM(F162)</f>
        <v>29.8</v>
      </c>
      <c r="G161" s="10"/>
    </row>
    <row r="162" spans="1:7" ht="29.25" customHeight="1">
      <c r="A162" s="43">
        <v>135</v>
      </c>
      <c r="B162" s="36">
        <v>406</v>
      </c>
      <c r="C162" s="37" t="s">
        <v>291</v>
      </c>
      <c r="D162" s="37" t="s">
        <v>56</v>
      </c>
      <c r="E162" s="58" t="s">
        <v>162</v>
      </c>
      <c r="F162" s="47">
        <f>30-30+30-0.2+14.7-14.7</f>
        <v>29.8</v>
      </c>
      <c r="G162" s="10"/>
    </row>
    <row r="163" spans="1:7" ht="16.5" customHeight="1">
      <c r="A163" s="43">
        <v>136</v>
      </c>
      <c r="B163" s="33">
        <v>408</v>
      </c>
      <c r="C163" s="34"/>
      <c r="D163" s="34"/>
      <c r="E163" s="35" t="s">
        <v>12</v>
      </c>
      <c r="F163" s="46">
        <f>SUM(F164)</f>
        <v>9836</v>
      </c>
      <c r="G163" s="10"/>
    </row>
    <row r="164" spans="1:7" ht="40.5" customHeight="1">
      <c r="A164" s="43">
        <v>137</v>
      </c>
      <c r="B164" s="33">
        <v>408</v>
      </c>
      <c r="C164" s="34" t="s">
        <v>120</v>
      </c>
      <c r="D164" s="34"/>
      <c r="E164" s="35" t="s">
        <v>354</v>
      </c>
      <c r="F164" s="46">
        <f>SUM(F165+F167)</f>
        <v>9836</v>
      </c>
      <c r="G164" s="11">
        <v>25916</v>
      </c>
    </row>
    <row r="165" spans="1:7" ht="33.75" customHeight="1">
      <c r="A165" s="43">
        <v>138</v>
      </c>
      <c r="B165" s="33">
        <v>408</v>
      </c>
      <c r="C165" s="34" t="s">
        <v>121</v>
      </c>
      <c r="D165" s="34"/>
      <c r="E165" s="35" t="s">
        <v>67</v>
      </c>
      <c r="F165" s="46">
        <f>F166</f>
        <v>6405</v>
      </c>
      <c r="G165" s="10" t="e">
        <f>#REF!</f>
        <v>#REF!</v>
      </c>
    </row>
    <row r="166" spans="1:7" ht="38.25">
      <c r="A166" s="43">
        <v>139</v>
      </c>
      <c r="B166" s="36">
        <v>408</v>
      </c>
      <c r="C166" s="37" t="s">
        <v>121</v>
      </c>
      <c r="D166" s="37" t="s">
        <v>48</v>
      </c>
      <c r="E166" s="38" t="s">
        <v>164</v>
      </c>
      <c r="F166" s="47">
        <v>6405</v>
      </c>
      <c r="G166" s="10"/>
    </row>
    <row r="167" spans="1:7" ht="67.5" customHeight="1">
      <c r="A167" s="43">
        <v>140</v>
      </c>
      <c r="B167" s="36">
        <v>408</v>
      </c>
      <c r="C167" s="37" t="s">
        <v>414</v>
      </c>
      <c r="D167" s="37"/>
      <c r="E167" s="35" t="s">
        <v>413</v>
      </c>
      <c r="F167" s="46">
        <f>F168</f>
        <v>3431</v>
      </c>
      <c r="G167" s="10"/>
    </row>
    <row r="168" spans="1:7" ht="30" customHeight="1">
      <c r="A168" s="43">
        <v>141</v>
      </c>
      <c r="B168" s="36">
        <v>408</v>
      </c>
      <c r="C168" s="37" t="s">
        <v>414</v>
      </c>
      <c r="D168" s="37" t="s">
        <v>56</v>
      </c>
      <c r="E168" s="58" t="s">
        <v>162</v>
      </c>
      <c r="F168" s="47">
        <f>4600-1169</f>
        <v>3431</v>
      </c>
      <c r="G168" s="10"/>
    </row>
    <row r="169" spans="1:7" ht="18" customHeight="1">
      <c r="A169" s="43">
        <v>142</v>
      </c>
      <c r="B169" s="33">
        <v>409</v>
      </c>
      <c r="C169" s="34"/>
      <c r="D169" s="34"/>
      <c r="E169" s="35" t="s">
        <v>49</v>
      </c>
      <c r="F169" s="46">
        <f>SUM(F170+F187)</f>
        <v>77099</v>
      </c>
      <c r="G169" s="10"/>
    </row>
    <row r="170" spans="1:7" ht="39" customHeight="1">
      <c r="A170" s="43">
        <v>143</v>
      </c>
      <c r="B170" s="33">
        <v>409</v>
      </c>
      <c r="C170" s="34" t="s">
        <v>120</v>
      </c>
      <c r="D170" s="34"/>
      <c r="E170" s="35" t="s">
        <v>354</v>
      </c>
      <c r="F170" s="46">
        <f>SUM(F171+F173+F175+F177+F179+F181+F183+F185)</f>
        <v>55962.5</v>
      </c>
      <c r="G170" s="10"/>
    </row>
    <row r="171" spans="1:7" s="5" customFormat="1" ht="28.5" customHeight="1">
      <c r="A171" s="43">
        <v>144</v>
      </c>
      <c r="B171" s="33">
        <v>409</v>
      </c>
      <c r="C171" s="34" t="s">
        <v>122</v>
      </c>
      <c r="D171" s="34"/>
      <c r="E171" s="35" t="s">
        <v>68</v>
      </c>
      <c r="F171" s="46">
        <f>F172</f>
        <v>13175.2</v>
      </c>
      <c r="G171" s="10"/>
    </row>
    <row r="172" spans="1:7" ht="30" customHeight="1">
      <c r="A172" s="43">
        <v>145</v>
      </c>
      <c r="B172" s="36">
        <v>409</v>
      </c>
      <c r="C172" s="37" t="s">
        <v>122</v>
      </c>
      <c r="D172" s="37" t="s">
        <v>56</v>
      </c>
      <c r="E172" s="38" t="s">
        <v>162</v>
      </c>
      <c r="F172" s="47">
        <f>12894-280+280+281.2</f>
        <v>13175.2</v>
      </c>
      <c r="G172" s="10"/>
    </row>
    <row r="173" spans="1:7" ht="30" customHeight="1">
      <c r="A173" s="43">
        <v>146</v>
      </c>
      <c r="B173" s="33">
        <v>409</v>
      </c>
      <c r="C173" s="34" t="s">
        <v>422</v>
      </c>
      <c r="D173" s="37"/>
      <c r="E173" s="40" t="s">
        <v>421</v>
      </c>
      <c r="F173" s="46">
        <f>F174</f>
        <v>50</v>
      </c>
      <c r="G173" s="10"/>
    </row>
    <row r="174" spans="1:7" ht="30" customHeight="1">
      <c r="A174" s="59">
        <v>147</v>
      </c>
      <c r="B174" s="36">
        <v>409</v>
      </c>
      <c r="C174" s="37" t="s">
        <v>422</v>
      </c>
      <c r="D174" s="37" t="s">
        <v>56</v>
      </c>
      <c r="E174" s="38" t="s">
        <v>162</v>
      </c>
      <c r="F174" s="47">
        <v>50</v>
      </c>
      <c r="G174" s="10"/>
    </row>
    <row r="175" spans="1:7" ht="47.25" customHeight="1">
      <c r="A175" s="43">
        <v>148</v>
      </c>
      <c r="B175" s="33">
        <v>409</v>
      </c>
      <c r="C175" s="44" t="s">
        <v>123</v>
      </c>
      <c r="D175" s="37"/>
      <c r="E175" s="40" t="s">
        <v>292</v>
      </c>
      <c r="F175" s="46">
        <f>F176</f>
        <v>400</v>
      </c>
      <c r="G175" s="10"/>
    </row>
    <row r="176" spans="1:7" ht="30" customHeight="1">
      <c r="A176" s="43">
        <v>149</v>
      </c>
      <c r="B176" s="36">
        <v>409</v>
      </c>
      <c r="C176" s="37" t="s">
        <v>123</v>
      </c>
      <c r="D176" s="37" t="s">
        <v>56</v>
      </c>
      <c r="E176" s="38" t="s">
        <v>162</v>
      </c>
      <c r="F176" s="47">
        <v>400</v>
      </c>
      <c r="G176" s="10"/>
    </row>
    <row r="177" spans="1:7" ht="69" customHeight="1">
      <c r="A177" s="43">
        <v>150</v>
      </c>
      <c r="B177" s="33">
        <v>409</v>
      </c>
      <c r="C177" s="34" t="s">
        <v>206</v>
      </c>
      <c r="D177" s="34"/>
      <c r="E177" s="42" t="s">
        <v>211</v>
      </c>
      <c r="F177" s="46">
        <f>SUM(F178)</f>
        <v>9432.5</v>
      </c>
      <c r="G177" s="10"/>
    </row>
    <row r="178" spans="1:7" ht="31.5" customHeight="1">
      <c r="A178" s="43">
        <v>151</v>
      </c>
      <c r="B178" s="36">
        <v>409</v>
      </c>
      <c r="C178" s="37" t="s">
        <v>206</v>
      </c>
      <c r="D178" s="37" t="s">
        <v>56</v>
      </c>
      <c r="E178" s="38" t="s">
        <v>162</v>
      </c>
      <c r="F178" s="47">
        <f>5306.8-55-350.1-1209.2+828+100+4812</f>
        <v>9432.5</v>
      </c>
      <c r="G178" s="10"/>
    </row>
    <row r="179" spans="1:7" ht="31.5" customHeight="1">
      <c r="A179" s="43">
        <v>152</v>
      </c>
      <c r="B179" s="33">
        <v>409</v>
      </c>
      <c r="C179" s="34" t="s">
        <v>384</v>
      </c>
      <c r="D179" s="37"/>
      <c r="E179" s="35" t="s">
        <v>382</v>
      </c>
      <c r="F179" s="46">
        <f>SUM(F180)</f>
        <v>55</v>
      </c>
      <c r="G179" s="10"/>
    </row>
    <row r="180" spans="1:7" ht="31.5" customHeight="1">
      <c r="A180" s="43" t="s">
        <v>478</v>
      </c>
      <c r="B180" s="36">
        <v>409</v>
      </c>
      <c r="C180" s="37" t="s">
        <v>384</v>
      </c>
      <c r="D180" s="37" t="s">
        <v>56</v>
      </c>
      <c r="E180" s="38" t="s">
        <v>162</v>
      </c>
      <c r="F180" s="47">
        <v>55</v>
      </c>
      <c r="G180" s="10"/>
    </row>
    <row r="181" spans="1:7" ht="36.75" customHeight="1">
      <c r="A181" s="43">
        <v>153</v>
      </c>
      <c r="B181" s="33">
        <v>409</v>
      </c>
      <c r="C181" s="34" t="s">
        <v>542</v>
      </c>
      <c r="D181" s="37"/>
      <c r="E181" s="93" t="s">
        <v>543</v>
      </c>
      <c r="F181" s="46">
        <f>SUM(F182)</f>
        <v>1008.5</v>
      </c>
      <c r="G181" s="10"/>
    </row>
    <row r="182" spans="1:7" ht="31.5" customHeight="1">
      <c r="A182" s="43" t="s">
        <v>540</v>
      </c>
      <c r="B182" s="36">
        <v>409</v>
      </c>
      <c r="C182" s="37" t="s">
        <v>542</v>
      </c>
      <c r="D182" s="37" t="s">
        <v>56</v>
      </c>
      <c r="E182" s="38" t="s">
        <v>162</v>
      </c>
      <c r="F182" s="90">
        <f>108.9+899.6</f>
        <v>1008.5</v>
      </c>
      <c r="G182" s="10"/>
    </row>
    <row r="183" spans="1:7" ht="38.25" customHeight="1">
      <c r="A183" s="43">
        <v>154</v>
      </c>
      <c r="B183" s="33">
        <v>409</v>
      </c>
      <c r="C183" s="34" t="s">
        <v>440</v>
      </c>
      <c r="D183" s="37"/>
      <c r="E183" s="35" t="s">
        <v>539</v>
      </c>
      <c r="F183" s="46">
        <f>SUM(F184)</f>
        <v>31491.200000000001</v>
      </c>
      <c r="G183" s="10"/>
    </row>
    <row r="184" spans="1:7" ht="31.5" customHeight="1">
      <c r="A184" s="43" t="s">
        <v>541</v>
      </c>
      <c r="B184" s="36">
        <v>409</v>
      </c>
      <c r="C184" s="37" t="s">
        <v>440</v>
      </c>
      <c r="D184" s="37" t="s">
        <v>56</v>
      </c>
      <c r="E184" s="38" t="s">
        <v>162</v>
      </c>
      <c r="F184" s="90">
        <f>32000-508.8</f>
        <v>31491.200000000001</v>
      </c>
      <c r="G184" s="10"/>
    </row>
    <row r="185" spans="1:7" ht="23.25" customHeight="1">
      <c r="A185" s="43">
        <v>155</v>
      </c>
      <c r="B185" s="33">
        <v>409</v>
      </c>
      <c r="C185" s="34" t="s">
        <v>431</v>
      </c>
      <c r="D185" s="37"/>
      <c r="E185" s="64" t="s">
        <v>432</v>
      </c>
      <c r="F185" s="46">
        <f>SUM(F186)</f>
        <v>350.1</v>
      </c>
      <c r="G185" s="10"/>
    </row>
    <row r="186" spans="1:7" ht="29.25" customHeight="1">
      <c r="A186" s="43">
        <v>156</v>
      </c>
      <c r="B186" s="36">
        <v>409</v>
      </c>
      <c r="C186" s="37" t="s">
        <v>431</v>
      </c>
      <c r="D186" s="37" t="s">
        <v>56</v>
      </c>
      <c r="E186" s="38" t="s">
        <v>162</v>
      </c>
      <c r="F186" s="47">
        <v>350.1</v>
      </c>
      <c r="G186" s="10"/>
    </row>
    <row r="187" spans="1:7" ht="18" customHeight="1">
      <c r="A187" s="43">
        <v>157</v>
      </c>
      <c r="B187" s="36">
        <v>409</v>
      </c>
      <c r="C187" s="37" t="s">
        <v>96</v>
      </c>
      <c r="D187" s="37"/>
      <c r="E187" s="35" t="s">
        <v>53</v>
      </c>
      <c r="F187" s="46">
        <f>SUM(F188)</f>
        <v>21136.5</v>
      </c>
      <c r="G187" s="10"/>
    </row>
    <row r="188" spans="1:7" ht="29.25" customHeight="1">
      <c r="A188" s="43" t="s">
        <v>486</v>
      </c>
      <c r="B188" s="33">
        <v>409</v>
      </c>
      <c r="C188" s="34" t="s">
        <v>433</v>
      </c>
      <c r="D188" s="34"/>
      <c r="E188" s="35" t="s">
        <v>434</v>
      </c>
      <c r="F188" s="46">
        <f>SUM(F189)</f>
        <v>21136.5</v>
      </c>
      <c r="G188" s="10"/>
    </row>
    <row r="189" spans="1:7" ht="29.25" customHeight="1">
      <c r="A189" s="43" t="s">
        <v>487</v>
      </c>
      <c r="B189" s="36">
        <v>409</v>
      </c>
      <c r="C189" s="34" t="s">
        <v>433</v>
      </c>
      <c r="D189" s="37" t="s">
        <v>56</v>
      </c>
      <c r="E189" s="38" t="s">
        <v>162</v>
      </c>
      <c r="F189" s="47">
        <v>21136.5</v>
      </c>
      <c r="G189" s="10"/>
    </row>
    <row r="190" spans="1:7">
      <c r="A190" s="43">
        <v>158</v>
      </c>
      <c r="B190" s="33">
        <v>410</v>
      </c>
      <c r="C190" s="34"/>
      <c r="D190" s="34"/>
      <c r="E190" s="35" t="s">
        <v>34</v>
      </c>
      <c r="F190" s="46">
        <f>SUM(F191)</f>
        <v>0</v>
      </c>
      <c r="G190" s="10"/>
    </row>
    <row r="191" spans="1:7" ht="42.75" customHeight="1">
      <c r="A191" s="43">
        <v>159</v>
      </c>
      <c r="B191" s="60">
        <v>410</v>
      </c>
      <c r="C191" s="44" t="s">
        <v>124</v>
      </c>
      <c r="D191" s="44"/>
      <c r="E191" s="35" t="s">
        <v>359</v>
      </c>
      <c r="F191" s="46">
        <f>SUM(F192)</f>
        <v>0</v>
      </c>
      <c r="G191" s="10"/>
    </row>
    <row r="192" spans="1:7" ht="63.75" customHeight="1">
      <c r="A192" s="43">
        <v>160</v>
      </c>
      <c r="B192" s="60">
        <v>410</v>
      </c>
      <c r="C192" s="44" t="s">
        <v>190</v>
      </c>
      <c r="D192" s="34"/>
      <c r="E192" s="42" t="s">
        <v>261</v>
      </c>
      <c r="F192" s="46">
        <f>SUM(F193)</f>
        <v>0</v>
      </c>
      <c r="G192" s="10"/>
    </row>
    <row r="193" spans="1:11" ht="25.5" customHeight="1">
      <c r="A193" s="43">
        <v>161</v>
      </c>
      <c r="B193" s="61">
        <v>410</v>
      </c>
      <c r="C193" s="45" t="s">
        <v>190</v>
      </c>
      <c r="D193" s="37" t="s">
        <v>56</v>
      </c>
      <c r="E193" s="38" t="s">
        <v>162</v>
      </c>
      <c r="F193" s="47">
        <f>10-10</f>
        <v>0</v>
      </c>
      <c r="G193" s="10"/>
    </row>
    <row r="194" spans="1:11" ht="25.5" customHeight="1">
      <c r="A194" s="43">
        <v>162</v>
      </c>
      <c r="B194" s="33">
        <v>412</v>
      </c>
      <c r="C194" s="34"/>
      <c r="D194" s="34"/>
      <c r="E194" s="35" t="s">
        <v>88</v>
      </c>
      <c r="F194" s="46">
        <f>SUM(F195+F206+F209+F212+F215+F218+F222)</f>
        <v>1656.7</v>
      </c>
      <c r="G194" s="10"/>
    </row>
    <row r="195" spans="1:11" ht="48.75" customHeight="1">
      <c r="A195" s="43">
        <v>163</v>
      </c>
      <c r="B195" s="33">
        <v>412</v>
      </c>
      <c r="C195" s="34" t="s">
        <v>102</v>
      </c>
      <c r="D195" s="34"/>
      <c r="E195" s="40" t="s">
        <v>252</v>
      </c>
      <c r="F195" s="46">
        <f>SUM(F196+F198+F200+F202+F204)</f>
        <v>860.7</v>
      </c>
      <c r="G195" s="10"/>
    </row>
    <row r="196" spans="1:11" ht="25.5" customHeight="1">
      <c r="A196" s="43">
        <v>164</v>
      </c>
      <c r="B196" s="33">
        <v>412</v>
      </c>
      <c r="C196" s="34" t="s">
        <v>103</v>
      </c>
      <c r="D196" s="34"/>
      <c r="E196" s="40" t="s">
        <v>58</v>
      </c>
      <c r="F196" s="46">
        <f>SUM(F197)</f>
        <v>258.5</v>
      </c>
      <c r="G196" s="10"/>
    </row>
    <row r="197" spans="1:11" ht="25.5" customHeight="1">
      <c r="A197" s="43">
        <v>165</v>
      </c>
      <c r="B197" s="36">
        <v>412</v>
      </c>
      <c r="C197" s="37" t="s">
        <v>103</v>
      </c>
      <c r="D197" s="37" t="s">
        <v>56</v>
      </c>
      <c r="E197" s="38" t="s">
        <v>162</v>
      </c>
      <c r="F197" s="47">
        <f>308.5-50</f>
        <v>258.5</v>
      </c>
      <c r="G197" s="10"/>
    </row>
    <row r="198" spans="1:11" ht="42.75" customHeight="1">
      <c r="A198" s="43">
        <v>166</v>
      </c>
      <c r="B198" s="33">
        <v>412</v>
      </c>
      <c r="C198" s="34" t="s">
        <v>104</v>
      </c>
      <c r="D198" s="34"/>
      <c r="E198" s="40" t="s">
        <v>212</v>
      </c>
      <c r="F198" s="46">
        <f>SUM(F199)</f>
        <v>150</v>
      </c>
      <c r="G198" s="10"/>
    </row>
    <row r="199" spans="1:11" ht="25.5" customHeight="1">
      <c r="A199" s="43">
        <v>167</v>
      </c>
      <c r="B199" s="36">
        <v>412</v>
      </c>
      <c r="C199" s="37" t="s">
        <v>104</v>
      </c>
      <c r="D199" s="37" t="s">
        <v>56</v>
      </c>
      <c r="E199" s="38" t="s">
        <v>162</v>
      </c>
      <c r="F199" s="47">
        <f>120-80.4+110.4</f>
        <v>150</v>
      </c>
      <c r="G199" s="10"/>
    </row>
    <row r="200" spans="1:11" ht="36.75" customHeight="1">
      <c r="A200" s="43">
        <v>168</v>
      </c>
      <c r="B200" s="33">
        <v>412</v>
      </c>
      <c r="C200" s="34" t="s">
        <v>105</v>
      </c>
      <c r="D200" s="37"/>
      <c r="E200" s="42" t="s">
        <v>213</v>
      </c>
      <c r="F200" s="46">
        <f>SUM(F201)</f>
        <v>165</v>
      </c>
      <c r="G200" s="10"/>
    </row>
    <row r="201" spans="1:11" ht="25.5" customHeight="1">
      <c r="A201" s="43">
        <v>169</v>
      </c>
      <c r="B201" s="36">
        <v>412</v>
      </c>
      <c r="C201" s="37" t="s">
        <v>105</v>
      </c>
      <c r="D201" s="37" t="s">
        <v>56</v>
      </c>
      <c r="E201" s="38" t="s">
        <v>162</v>
      </c>
      <c r="F201" s="47">
        <f>255-90</f>
        <v>165</v>
      </c>
      <c r="G201" s="10"/>
    </row>
    <row r="202" spans="1:11" ht="25.5" customHeight="1">
      <c r="A202" s="43">
        <v>170</v>
      </c>
      <c r="B202" s="33">
        <v>412</v>
      </c>
      <c r="C202" s="34" t="s">
        <v>148</v>
      </c>
      <c r="D202" s="34"/>
      <c r="E202" s="42" t="s">
        <v>188</v>
      </c>
      <c r="F202" s="46">
        <f>SUM(F203)</f>
        <v>47.2</v>
      </c>
      <c r="G202" s="10"/>
    </row>
    <row r="203" spans="1:11" ht="27.75" customHeight="1">
      <c r="A203" s="43">
        <v>171</v>
      </c>
      <c r="B203" s="36">
        <v>412</v>
      </c>
      <c r="C203" s="37" t="s">
        <v>148</v>
      </c>
      <c r="D203" s="37" t="s">
        <v>56</v>
      </c>
      <c r="E203" s="38" t="s">
        <v>162</v>
      </c>
      <c r="F203" s="47">
        <v>47.2</v>
      </c>
      <c r="G203" s="10"/>
    </row>
    <row r="204" spans="1:11" ht="54.75" customHeight="1">
      <c r="A204" s="43">
        <v>172</v>
      </c>
      <c r="B204" s="33">
        <v>412</v>
      </c>
      <c r="C204" s="34" t="s">
        <v>189</v>
      </c>
      <c r="D204" s="37"/>
      <c r="E204" s="35" t="s">
        <v>299</v>
      </c>
      <c r="F204" s="46">
        <f>SUM(F205)</f>
        <v>240</v>
      </c>
      <c r="G204" s="10"/>
    </row>
    <row r="205" spans="1:11" ht="31.5" customHeight="1">
      <c r="A205" s="43">
        <v>173</v>
      </c>
      <c r="B205" s="36">
        <v>412</v>
      </c>
      <c r="C205" s="37" t="s">
        <v>189</v>
      </c>
      <c r="D205" s="37" t="s">
        <v>56</v>
      </c>
      <c r="E205" s="38" t="s">
        <v>162</v>
      </c>
      <c r="F205" s="47">
        <v>240</v>
      </c>
      <c r="G205" s="10"/>
    </row>
    <row r="206" spans="1:11" s="5" customFormat="1" ht="42" customHeight="1">
      <c r="A206" s="43">
        <v>174</v>
      </c>
      <c r="B206" s="33">
        <v>412</v>
      </c>
      <c r="C206" s="44" t="s">
        <v>125</v>
      </c>
      <c r="D206" s="44"/>
      <c r="E206" s="35" t="s">
        <v>353</v>
      </c>
      <c r="F206" s="46">
        <f>F207</f>
        <v>0</v>
      </c>
      <c r="G206" s="10"/>
    </row>
    <row r="207" spans="1:11" s="5" customFormat="1" ht="50.25" customHeight="1">
      <c r="A207" s="43">
        <v>175</v>
      </c>
      <c r="B207" s="33">
        <v>412</v>
      </c>
      <c r="C207" s="34" t="s">
        <v>126</v>
      </c>
      <c r="D207" s="34"/>
      <c r="E207" s="42" t="s">
        <v>214</v>
      </c>
      <c r="F207" s="46">
        <f>F208</f>
        <v>0</v>
      </c>
      <c r="G207" s="10"/>
      <c r="H207" s="22"/>
      <c r="I207" s="22"/>
      <c r="J207" s="22"/>
      <c r="K207" s="22"/>
    </row>
    <row r="208" spans="1:11" s="5" customFormat="1" ht="44.25" customHeight="1">
      <c r="A208" s="43">
        <v>176</v>
      </c>
      <c r="B208" s="36">
        <v>412</v>
      </c>
      <c r="C208" s="37" t="s">
        <v>126</v>
      </c>
      <c r="D208" s="37" t="s">
        <v>48</v>
      </c>
      <c r="E208" s="38" t="s">
        <v>164</v>
      </c>
      <c r="F208" s="47">
        <f>62.1-62.1</f>
        <v>0</v>
      </c>
      <c r="G208" s="10"/>
    </row>
    <row r="209" spans="1:8" s="5" customFormat="1" ht="41.25" customHeight="1">
      <c r="A209" s="43">
        <v>177</v>
      </c>
      <c r="B209" s="60">
        <v>412</v>
      </c>
      <c r="C209" s="44" t="s">
        <v>191</v>
      </c>
      <c r="D209" s="45"/>
      <c r="E209" s="35" t="s">
        <v>262</v>
      </c>
      <c r="F209" s="46">
        <f>F210</f>
        <v>160</v>
      </c>
      <c r="G209" s="10"/>
    </row>
    <row r="210" spans="1:8" s="5" customFormat="1" ht="40.5" customHeight="1">
      <c r="A210" s="43">
        <v>178</v>
      </c>
      <c r="B210" s="60">
        <v>412</v>
      </c>
      <c r="C210" s="44" t="s">
        <v>336</v>
      </c>
      <c r="D210" s="45"/>
      <c r="E210" s="35" t="s">
        <v>337</v>
      </c>
      <c r="F210" s="46">
        <f>SUM(F211)</f>
        <v>160</v>
      </c>
      <c r="G210" s="10"/>
    </row>
    <row r="211" spans="1:8" s="5" customFormat="1" ht="27.75" customHeight="1">
      <c r="A211" s="43">
        <v>179</v>
      </c>
      <c r="B211" s="61">
        <v>412</v>
      </c>
      <c r="C211" s="45" t="s">
        <v>336</v>
      </c>
      <c r="D211" s="45" t="s">
        <v>56</v>
      </c>
      <c r="E211" s="38" t="s">
        <v>162</v>
      </c>
      <c r="F211" s="47">
        <f>350-76.8-113.2</f>
        <v>160</v>
      </c>
      <c r="G211" s="10"/>
    </row>
    <row r="212" spans="1:8" s="4" customFormat="1" ht="54" customHeight="1">
      <c r="A212" s="43">
        <v>180</v>
      </c>
      <c r="B212" s="33">
        <v>412</v>
      </c>
      <c r="C212" s="34" t="s">
        <v>158</v>
      </c>
      <c r="D212" s="34"/>
      <c r="E212" s="35" t="s">
        <v>215</v>
      </c>
      <c r="F212" s="46">
        <f>F213</f>
        <v>0</v>
      </c>
      <c r="G212" s="12"/>
    </row>
    <row r="213" spans="1:8" s="4" customFormat="1" ht="31.5" customHeight="1">
      <c r="A213" s="43">
        <v>181</v>
      </c>
      <c r="B213" s="33">
        <v>412</v>
      </c>
      <c r="C213" s="34" t="s">
        <v>130</v>
      </c>
      <c r="D213" s="34"/>
      <c r="E213" s="35" t="s">
        <v>196</v>
      </c>
      <c r="F213" s="46">
        <f>F214</f>
        <v>0</v>
      </c>
      <c r="G213" s="12"/>
    </row>
    <row r="214" spans="1:8" s="4" customFormat="1" ht="24.75" customHeight="1">
      <c r="A214" s="43">
        <v>182</v>
      </c>
      <c r="B214" s="36">
        <v>412</v>
      </c>
      <c r="C214" s="37" t="s">
        <v>130</v>
      </c>
      <c r="D214" s="37" t="s">
        <v>56</v>
      </c>
      <c r="E214" s="38" t="s">
        <v>162</v>
      </c>
      <c r="F214" s="47">
        <f>24-24</f>
        <v>0</v>
      </c>
      <c r="G214" s="12"/>
    </row>
    <row r="215" spans="1:8" s="4" customFormat="1" ht="54.75" customHeight="1">
      <c r="A215" s="43">
        <v>183</v>
      </c>
      <c r="B215" s="60">
        <v>412</v>
      </c>
      <c r="C215" s="44" t="s">
        <v>205</v>
      </c>
      <c r="D215" s="44"/>
      <c r="E215" s="35" t="s">
        <v>355</v>
      </c>
      <c r="F215" s="46">
        <f>SUM(F216)</f>
        <v>420</v>
      </c>
      <c r="G215" s="12"/>
    </row>
    <row r="216" spans="1:8" s="4" customFormat="1" ht="98.25" customHeight="1">
      <c r="A216" s="43">
        <v>184</v>
      </c>
      <c r="B216" s="60">
        <v>412</v>
      </c>
      <c r="C216" s="44" t="s">
        <v>277</v>
      </c>
      <c r="D216" s="44"/>
      <c r="E216" s="42" t="s">
        <v>281</v>
      </c>
      <c r="F216" s="46">
        <f>SUM(F217)</f>
        <v>420</v>
      </c>
      <c r="G216" s="12"/>
      <c r="H216" s="41"/>
    </row>
    <row r="217" spans="1:8" s="4" customFormat="1" ht="29.25" customHeight="1">
      <c r="A217" s="43">
        <v>185</v>
      </c>
      <c r="B217" s="61">
        <v>412</v>
      </c>
      <c r="C217" s="45" t="s">
        <v>277</v>
      </c>
      <c r="D217" s="45" t="s">
        <v>56</v>
      </c>
      <c r="E217" s="38" t="s">
        <v>162</v>
      </c>
      <c r="F217" s="47">
        <f>300+120</f>
        <v>420</v>
      </c>
      <c r="G217" s="12"/>
      <c r="H217" s="41"/>
    </row>
    <row r="218" spans="1:8" s="4" customFormat="1" ht="35.25" customHeight="1">
      <c r="A218" s="43">
        <v>186</v>
      </c>
      <c r="B218" s="60">
        <v>412</v>
      </c>
      <c r="C218" s="44" t="s">
        <v>208</v>
      </c>
      <c r="D218" s="44"/>
      <c r="E218" s="62" t="s">
        <v>356</v>
      </c>
      <c r="F218" s="46">
        <f>SUM(F219)</f>
        <v>0</v>
      </c>
      <c r="G218" s="12"/>
    </row>
    <row r="219" spans="1:8" s="4" customFormat="1" ht="48.75" customHeight="1">
      <c r="A219" s="43">
        <v>187</v>
      </c>
      <c r="B219" s="60">
        <v>412</v>
      </c>
      <c r="C219" s="44" t="s">
        <v>234</v>
      </c>
      <c r="D219" s="44"/>
      <c r="E219" s="62" t="s">
        <v>233</v>
      </c>
      <c r="F219" s="46">
        <f>SUM(F220)</f>
        <v>0</v>
      </c>
      <c r="G219" s="12"/>
    </row>
    <row r="220" spans="1:8" s="4" customFormat="1" ht="63" customHeight="1">
      <c r="A220" s="43">
        <v>188</v>
      </c>
      <c r="B220" s="60">
        <v>412</v>
      </c>
      <c r="C220" s="44" t="s">
        <v>207</v>
      </c>
      <c r="D220" s="44"/>
      <c r="E220" s="42" t="s">
        <v>263</v>
      </c>
      <c r="F220" s="46">
        <f>SUM(F221)</f>
        <v>0</v>
      </c>
      <c r="G220" s="12"/>
    </row>
    <row r="221" spans="1:8" s="4" customFormat="1" ht="29.25" customHeight="1">
      <c r="A221" s="43">
        <v>189</v>
      </c>
      <c r="B221" s="61">
        <v>412</v>
      </c>
      <c r="C221" s="45" t="s">
        <v>207</v>
      </c>
      <c r="D221" s="45" t="s">
        <v>56</v>
      </c>
      <c r="E221" s="38" t="s">
        <v>162</v>
      </c>
      <c r="F221" s="47">
        <f>2-2</f>
        <v>0</v>
      </c>
      <c r="G221" s="12"/>
    </row>
    <row r="222" spans="1:8" s="4" customFormat="1" ht="18.75" customHeight="1">
      <c r="A222" s="43">
        <v>190</v>
      </c>
      <c r="B222" s="33">
        <v>412</v>
      </c>
      <c r="C222" s="34" t="s">
        <v>96</v>
      </c>
      <c r="D222" s="34"/>
      <c r="E222" s="35" t="s">
        <v>53</v>
      </c>
      <c r="F222" s="46">
        <f>SUM(F223)</f>
        <v>216</v>
      </c>
      <c r="G222" s="12"/>
    </row>
    <row r="223" spans="1:8" s="4" customFormat="1" ht="29.25" customHeight="1">
      <c r="A223" s="43">
        <v>191</v>
      </c>
      <c r="B223" s="33">
        <v>412</v>
      </c>
      <c r="C223" s="34" t="s">
        <v>433</v>
      </c>
      <c r="D223" s="37"/>
      <c r="E223" s="35" t="s">
        <v>434</v>
      </c>
      <c r="F223" s="46">
        <f>SUM(F224)</f>
        <v>216</v>
      </c>
      <c r="G223" s="12"/>
    </row>
    <row r="224" spans="1:8" s="4" customFormat="1" ht="27" customHeight="1">
      <c r="A224" s="43">
        <v>192</v>
      </c>
      <c r="B224" s="36">
        <v>412</v>
      </c>
      <c r="C224" s="37" t="s">
        <v>433</v>
      </c>
      <c r="D224" s="37" t="s">
        <v>56</v>
      </c>
      <c r="E224" s="38" t="s">
        <v>162</v>
      </c>
      <c r="F224" s="47">
        <v>216</v>
      </c>
      <c r="G224" s="12"/>
    </row>
    <row r="225" spans="1:10" s="4" customFormat="1" ht="27.75" customHeight="1">
      <c r="A225" s="43">
        <v>193</v>
      </c>
      <c r="B225" s="33">
        <v>500</v>
      </c>
      <c r="C225" s="34"/>
      <c r="D225" s="34"/>
      <c r="E225" s="53" t="s">
        <v>13</v>
      </c>
      <c r="F225" s="46">
        <f>SUM(F226+F248+F285+F307)</f>
        <v>224376.15999999997</v>
      </c>
      <c r="G225" s="12"/>
    </row>
    <row r="226" spans="1:10" s="4" customFormat="1" ht="14.25" customHeight="1">
      <c r="A226" s="43">
        <v>194</v>
      </c>
      <c r="B226" s="33">
        <v>501</v>
      </c>
      <c r="C226" s="34"/>
      <c r="D226" s="34"/>
      <c r="E226" s="35" t="s">
        <v>14</v>
      </c>
      <c r="F226" s="46">
        <f>SUM(F227+F234+F237+F242+F245)</f>
        <v>162261.9</v>
      </c>
      <c r="G226" s="12"/>
    </row>
    <row r="227" spans="1:10" ht="41.25" customHeight="1">
      <c r="A227" s="43">
        <v>195</v>
      </c>
      <c r="B227" s="33">
        <v>501</v>
      </c>
      <c r="C227" s="34" t="s">
        <v>128</v>
      </c>
      <c r="D227" s="34"/>
      <c r="E227" s="40" t="s">
        <v>357</v>
      </c>
      <c r="F227" s="46">
        <f>SUM(F228+F231+F233)</f>
        <v>724.9</v>
      </c>
      <c r="G227" s="10" t="e">
        <f>G228+#REF!+#REF!+#REF!</f>
        <v>#REF!</v>
      </c>
    </row>
    <row r="228" spans="1:10" ht="43.5" customHeight="1">
      <c r="A228" s="43">
        <v>196</v>
      </c>
      <c r="B228" s="33">
        <v>501</v>
      </c>
      <c r="C228" s="34" t="s">
        <v>129</v>
      </c>
      <c r="D228" s="37"/>
      <c r="E228" s="40" t="s">
        <v>193</v>
      </c>
      <c r="F228" s="46">
        <f>F229</f>
        <v>524.9</v>
      </c>
      <c r="G228" s="10" t="e">
        <f>G229+#REF!</f>
        <v>#REF!</v>
      </c>
    </row>
    <row r="229" spans="1:10" ht="34.5" customHeight="1">
      <c r="A229" s="43">
        <v>197</v>
      </c>
      <c r="B229" s="36">
        <v>501</v>
      </c>
      <c r="C229" s="37" t="s">
        <v>129</v>
      </c>
      <c r="D229" s="37" t="s">
        <v>56</v>
      </c>
      <c r="E229" s="38" t="s">
        <v>162</v>
      </c>
      <c r="F229" s="47">
        <f>839.1-419.1+104.9</f>
        <v>524.9</v>
      </c>
      <c r="G229" s="10" t="e">
        <f>#REF!</f>
        <v>#REF!</v>
      </c>
      <c r="H229" s="103"/>
      <c r="I229" s="103"/>
      <c r="J229" s="103"/>
    </row>
    <row r="230" spans="1:10" ht="42" customHeight="1">
      <c r="A230" s="43">
        <v>198</v>
      </c>
      <c r="B230" s="33">
        <v>501</v>
      </c>
      <c r="C230" s="34" t="s">
        <v>383</v>
      </c>
      <c r="D230" s="37"/>
      <c r="E230" s="40" t="s">
        <v>435</v>
      </c>
      <c r="F230" s="46">
        <f>F231</f>
        <v>0</v>
      </c>
      <c r="G230" s="10"/>
      <c r="H230" s="80"/>
      <c r="I230" s="80"/>
      <c r="J230" s="80"/>
    </row>
    <row r="231" spans="1:10" ht="25.5" customHeight="1">
      <c r="A231" s="43">
        <v>199</v>
      </c>
      <c r="B231" s="36">
        <v>501</v>
      </c>
      <c r="C231" s="37" t="s">
        <v>383</v>
      </c>
      <c r="D231" s="37" t="s">
        <v>56</v>
      </c>
      <c r="E231" s="38" t="s">
        <v>162</v>
      </c>
      <c r="F231" s="47">
        <f>400-400</f>
        <v>0</v>
      </c>
      <c r="G231" s="10"/>
      <c r="H231" s="80"/>
      <c r="I231" s="80"/>
      <c r="J231" s="80"/>
    </row>
    <row r="232" spans="1:10" ht="25.5" customHeight="1">
      <c r="A232" s="43">
        <v>200</v>
      </c>
      <c r="B232" s="33">
        <v>501</v>
      </c>
      <c r="C232" s="34" t="s">
        <v>441</v>
      </c>
      <c r="D232" s="37"/>
      <c r="E232" s="35" t="s">
        <v>442</v>
      </c>
      <c r="F232" s="46">
        <f>F233</f>
        <v>200</v>
      </c>
      <c r="G232" s="10"/>
      <c r="H232" s="81"/>
      <c r="I232" s="81"/>
      <c r="J232" s="81"/>
    </row>
    <row r="233" spans="1:10" ht="25.5" customHeight="1">
      <c r="A233" s="43">
        <v>201</v>
      </c>
      <c r="B233" s="36">
        <v>501</v>
      </c>
      <c r="C233" s="37" t="s">
        <v>441</v>
      </c>
      <c r="D233" s="37" t="s">
        <v>56</v>
      </c>
      <c r="E233" s="38" t="s">
        <v>162</v>
      </c>
      <c r="F233" s="47">
        <v>200</v>
      </c>
      <c r="G233" s="10"/>
      <c r="H233" s="81"/>
      <c r="I233" s="81"/>
      <c r="J233" s="81"/>
    </row>
    <row r="234" spans="1:10" ht="45" customHeight="1">
      <c r="A234" s="43">
        <v>202</v>
      </c>
      <c r="B234" s="33">
        <v>501</v>
      </c>
      <c r="C234" s="34" t="s">
        <v>102</v>
      </c>
      <c r="D234" s="37"/>
      <c r="E234" s="40" t="s">
        <v>252</v>
      </c>
      <c r="F234" s="46">
        <f>SUM(F235)</f>
        <v>0</v>
      </c>
      <c r="G234" s="67"/>
      <c r="H234" s="68"/>
      <c r="I234" s="68"/>
      <c r="J234" s="68"/>
    </row>
    <row r="235" spans="1:10" ht="34.5" customHeight="1">
      <c r="A235" s="43">
        <v>203</v>
      </c>
      <c r="B235" s="33">
        <v>501</v>
      </c>
      <c r="C235" s="34" t="s">
        <v>305</v>
      </c>
      <c r="D235" s="37"/>
      <c r="E235" s="42" t="s">
        <v>329</v>
      </c>
      <c r="F235" s="46">
        <f>SUM(F236)</f>
        <v>0</v>
      </c>
      <c r="G235" s="67"/>
      <c r="H235" s="68"/>
      <c r="I235" s="68"/>
      <c r="J235" s="68"/>
    </row>
    <row r="236" spans="1:10" ht="34.5" customHeight="1">
      <c r="A236" s="43">
        <v>204</v>
      </c>
      <c r="B236" s="36">
        <v>501</v>
      </c>
      <c r="C236" s="37" t="s">
        <v>305</v>
      </c>
      <c r="D236" s="37" t="s">
        <v>56</v>
      </c>
      <c r="E236" s="38" t="s">
        <v>162</v>
      </c>
      <c r="F236" s="47">
        <f>300-12.6-287.4</f>
        <v>0</v>
      </c>
      <c r="G236" s="67"/>
      <c r="H236" s="68"/>
      <c r="I236" s="68"/>
      <c r="J236" s="69" t="s">
        <v>338</v>
      </c>
    </row>
    <row r="237" spans="1:10" ht="69" customHeight="1">
      <c r="A237" s="43">
        <v>205</v>
      </c>
      <c r="B237" s="33">
        <v>501</v>
      </c>
      <c r="C237" s="34" t="s">
        <v>194</v>
      </c>
      <c r="D237" s="34"/>
      <c r="E237" s="62" t="s">
        <v>358</v>
      </c>
      <c r="F237" s="46">
        <f>SUM(F238+F240)</f>
        <v>500</v>
      </c>
      <c r="G237" s="67"/>
      <c r="H237" s="68"/>
      <c r="I237" s="68"/>
      <c r="J237" s="68"/>
    </row>
    <row r="238" spans="1:10" ht="31.5" customHeight="1">
      <c r="A238" s="43">
        <v>206</v>
      </c>
      <c r="B238" s="33">
        <v>501</v>
      </c>
      <c r="C238" s="34" t="s">
        <v>307</v>
      </c>
      <c r="D238" s="37"/>
      <c r="E238" s="35" t="s">
        <v>312</v>
      </c>
      <c r="F238" s="46">
        <f>F239</f>
        <v>0</v>
      </c>
      <c r="G238" s="67"/>
      <c r="H238" s="68"/>
      <c r="I238" s="68"/>
      <c r="J238" s="68"/>
    </row>
    <row r="239" spans="1:10" ht="31.5" customHeight="1">
      <c r="A239" s="43">
        <v>207</v>
      </c>
      <c r="B239" s="36">
        <v>501</v>
      </c>
      <c r="C239" s="37" t="s">
        <v>307</v>
      </c>
      <c r="D239" s="37" t="s">
        <v>56</v>
      </c>
      <c r="E239" s="38" t="s">
        <v>162</v>
      </c>
      <c r="F239" s="47">
        <f>429-200+70+60+70-129-37.3-200-62.7</f>
        <v>0</v>
      </c>
      <c r="G239" s="67"/>
      <c r="H239" s="68"/>
      <c r="I239" s="68"/>
      <c r="J239" s="68"/>
    </row>
    <row r="240" spans="1:10" ht="48.75" customHeight="1">
      <c r="A240" s="43">
        <v>208</v>
      </c>
      <c r="B240" s="33">
        <v>501</v>
      </c>
      <c r="C240" s="34" t="s">
        <v>282</v>
      </c>
      <c r="D240" s="34"/>
      <c r="E240" s="35" t="s">
        <v>283</v>
      </c>
      <c r="F240" s="46">
        <f>SUM(F241)</f>
        <v>500</v>
      </c>
      <c r="G240" s="67"/>
      <c r="H240" s="68"/>
      <c r="I240" s="68"/>
      <c r="J240" s="68"/>
    </row>
    <row r="241" spans="1:10" ht="32.25" customHeight="1">
      <c r="A241" s="63">
        <v>209</v>
      </c>
      <c r="B241" s="36">
        <v>501</v>
      </c>
      <c r="C241" s="37" t="s">
        <v>282</v>
      </c>
      <c r="D241" s="37" t="s">
        <v>56</v>
      </c>
      <c r="E241" s="38" t="s">
        <v>162</v>
      </c>
      <c r="F241" s="47">
        <f>800-300</f>
        <v>500</v>
      </c>
      <c r="G241" s="67"/>
      <c r="H241" s="68"/>
      <c r="I241" s="68"/>
      <c r="J241" s="68"/>
    </row>
    <row r="242" spans="1:10" ht="82.5" customHeight="1">
      <c r="A242" s="63">
        <v>210</v>
      </c>
      <c r="B242" s="33">
        <v>501</v>
      </c>
      <c r="C242" s="34" t="s">
        <v>346</v>
      </c>
      <c r="D242" s="37"/>
      <c r="E242" s="62" t="s">
        <v>345</v>
      </c>
      <c r="F242" s="46">
        <f>SUM(F243)</f>
        <v>0</v>
      </c>
      <c r="G242" s="67"/>
      <c r="H242" s="68"/>
      <c r="I242" s="68"/>
      <c r="J242" s="68"/>
    </row>
    <row r="243" spans="1:10" ht="32.25" customHeight="1">
      <c r="A243" s="63">
        <v>211</v>
      </c>
      <c r="B243" s="33">
        <v>501</v>
      </c>
      <c r="C243" s="34" t="s">
        <v>347</v>
      </c>
      <c r="D243" s="37"/>
      <c r="E243" s="35" t="s">
        <v>343</v>
      </c>
      <c r="F243" s="46">
        <f>SUM(F244)</f>
        <v>0</v>
      </c>
      <c r="G243" s="67"/>
      <c r="H243" s="68"/>
      <c r="I243" s="68"/>
      <c r="J243" s="68"/>
    </row>
    <row r="244" spans="1:10" ht="27" customHeight="1">
      <c r="A244" s="63">
        <v>212</v>
      </c>
      <c r="B244" s="36">
        <v>501</v>
      </c>
      <c r="C244" s="37" t="s">
        <v>347</v>
      </c>
      <c r="D244" s="37" t="s">
        <v>56</v>
      </c>
      <c r="E244" s="38" t="s">
        <v>162</v>
      </c>
      <c r="F244" s="47">
        <f>843.2-100-1.3-49-326.2-366.7</f>
        <v>0</v>
      </c>
      <c r="G244" s="67"/>
      <c r="H244" s="68"/>
      <c r="I244" s="68"/>
      <c r="J244" s="68"/>
    </row>
    <row r="245" spans="1:10" ht="22.5" customHeight="1">
      <c r="A245" s="63">
        <v>213</v>
      </c>
      <c r="B245" s="33">
        <v>501</v>
      </c>
      <c r="C245" s="34" t="s">
        <v>96</v>
      </c>
      <c r="D245" s="37"/>
      <c r="E245" s="35" t="s">
        <v>53</v>
      </c>
      <c r="F245" s="46">
        <f>SUM(F246)</f>
        <v>161037</v>
      </c>
      <c r="G245" s="67"/>
      <c r="H245" s="83"/>
      <c r="I245" s="83"/>
      <c r="J245" s="83"/>
    </row>
    <row r="246" spans="1:10" s="5" customFormat="1" ht="29.25" customHeight="1">
      <c r="A246" s="43">
        <v>214</v>
      </c>
      <c r="B246" s="33">
        <v>501</v>
      </c>
      <c r="C246" s="34" t="s">
        <v>433</v>
      </c>
      <c r="D246" s="37"/>
      <c r="E246" s="35" t="s">
        <v>434</v>
      </c>
      <c r="F246" s="46">
        <f>F247</f>
        <v>161037</v>
      </c>
      <c r="G246" s="67">
        <v>1105</v>
      </c>
      <c r="H246" s="70"/>
      <c r="I246" s="70"/>
      <c r="J246" s="70"/>
    </row>
    <row r="247" spans="1:10" ht="27.75" customHeight="1">
      <c r="A247" s="43">
        <v>215</v>
      </c>
      <c r="B247" s="36">
        <v>501</v>
      </c>
      <c r="C247" s="37" t="s">
        <v>433</v>
      </c>
      <c r="D247" s="37" t="s">
        <v>438</v>
      </c>
      <c r="E247" s="52" t="s">
        <v>437</v>
      </c>
      <c r="F247" s="47">
        <f>127680.8+19807.8+13548.4</f>
        <v>161037</v>
      </c>
      <c r="G247" s="67" t="e">
        <f>#REF!+#REF!+#REF!+#REF!</f>
        <v>#REF!</v>
      </c>
      <c r="H247" s="71"/>
      <c r="I247" s="71"/>
      <c r="J247" s="71"/>
    </row>
    <row r="248" spans="1:10" ht="23.25" customHeight="1">
      <c r="A248" s="43">
        <v>216</v>
      </c>
      <c r="B248" s="33">
        <v>502</v>
      </c>
      <c r="C248" s="34"/>
      <c r="D248" s="34"/>
      <c r="E248" s="35" t="s">
        <v>15</v>
      </c>
      <c r="F248" s="46">
        <f>SUM(F249+F258+F280)</f>
        <v>47925.399999999972</v>
      </c>
      <c r="G248" s="67"/>
      <c r="H248" s="71"/>
      <c r="I248" s="71"/>
      <c r="J248" s="71"/>
    </row>
    <row r="249" spans="1:10" ht="41.25" customHeight="1">
      <c r="A249" s="43">
        <v>217</v>
      </c>
      <c r="B249" s="33">
        <v>502</v>
      </c>
      <c r="C249" s="34" t="s">
        <v>217</v>
      </c>
      <c r="D249" s="34"/>
      <c r="E249" s="40" t="s">
        <v>360</v>
      </c>
      <c r="F249" s="46">
        <f>SUM(F250+F252+F254+F256)</f>
        <v>16706.79999999997</v>
      </c>
      <c r="G249" s="67"/>
      <c r="H249" s="71"/>
      <c r="I249" s="71"/>
      <c r="J249" s="71"/>
    </row>
    <row r="250" spans="1:10" ht="70.5" customHeight="1">
      <c r="A250" s="43">
        <v>218</v>
      </c>
      <c r="B250" s="33">
        <v>502</v>
      </c>
      <c r="C250" s="34" t="s">
        <v>216</v>
      </c>
      <c r="D250" s="34"/>
      <c r="E250" s="40" t="s">
        <v>285</v>
      </c>
      <c r="F250" s="46">
        <f>SUM(F251)</f>
        <v>1053.0999999999997</v>
      </c>
      <c r="G250" s="67"/>
      <c r="H250" s="71"/>
      <c r="I250" s="71"/>
      <c r="J250" s="71"/>
    </row>
    <row r="251" spans="1:10" ht="33" customHeight="1">
      <c r="A251" s="43">
        <v>219</v>
      </c>
      <c r="B251" s="36">
        <v>502</v>
      </c>
      <c r="C251" s="37" t="s">
        <v>216</v>
      </c>
      <c r="D251" s="37" t="s">
        <v>56</v>
      </c>
      <c r="E251" s="38" t="s">
        <v>162</v>
      </c>
      <c r="F251" s="47">
        <f>1122-1122+3.6+1218.6-499.2+207+123.1</f>
        <v>1053.0999999999997</v>
      </c>
      <c r="G251" s="67"/>
      <c r="H251" s="71"/>
      <c r="I251" s="71"/>
      <c r="J251" s="71"/>
    </row>
    <row r="252" spans="1:10" ht="39" customHeight="1">
      <c r="A252" s="43">
        <v>220</v>
      </c>
      <c r="B252" s="33">
        <v>502</v>
      </c>
      <c r="C252" s="34" t="s">
        <v>344</v>
      </c>
      <c r="D252" s="37"/>
      <c r="E252" s="40" t="s">
        <v>348</v>
      </c>
      <c r="F252" s="46">
        <f>SUM(F253)</f>
        <v>179.3</v>
      </c>
      <c r="G252" s="67"/>
      <c r="H252" s="71"/>
      <c r="I252" s="71"/>
      <c r="J252" s="71"/>
    </row>
    <row r="253" spans="1:10" ht="33" customHeight="1">
      <c r="A253" s="43">
        <v>221</v>
      </c>
      <c r="B253" s="36">
        <v>502</v>
      </c>
      <c r="C253" s="37" t="s">
        <v>344</v>
      </c>
      <c r="D253" s="37" t="s">
        <v>56</v>
      </c>
      <c r="E253" s="38" t="s">
        <v>162</v>
      </c>
      <c r="F253" s="47">
        <f>200-20.7</f>
        <v>179.3</v>
      </c>
      <c r="G253" s="67"/>
      <c r="H253" s="71"/>
      <c r="I253" s="71"/>
      <c r="J253" s="71"/>
    </row>
    <row r="254" spans="1:10" ht="43.5" customHeight="1">
      <c r="A254" s="43">
        <v>222</v>
      </c>
      <c r="B254" s="33">
        <v>502</v>
      </c>
      <c r="C254" s="34" t="s">
        <v>386</v>
      </c>
      <c r="D254" s="37"/>
      <c r="E254" s="40" t="s">
        <v>538</v>
      </c>
      <c r="F254" s="46">
        <f>SUM(F255)</f>
        <v>15474.399999999971</v>
      </c>
      <c r="G254" s="84"/>
      <c r="H254" s="77"/>
      <c r="I254" s="71"/>
      <c r="J254" s="71"/>
    </row>
    <row r="255" spans="1:10" ht="26.25" customHeight="1">
      <c r="A255" s="43">
        <v>223</v>
      </c>
      <c r="B255" s="36">
        <v>502</v>
      </c>
      <c r="C255" s="37" t="s">
        <v>386</v>
      </c>
      <c r="D255" s="37" t="s">
        <v>56</v>
      </c>
      <c r="E255" s="38" t="s">
        <v>162</v>
      </c>
      <c r="F255" s="46">
        <f>13340.2+2250-1886+413.6+990+132054.9+87766.4+99.4+133.8-300+134.6-219521.4-1.1</f>
        <v>15474.399999999971</v>
      </c>
      <c r="G255" s="84"/>
      <c r="H255" s="77"/>
      <c r="I255" s="71"/>
      <c r="J255" s="71"/>
    </row>
    <row r="256" spans="1:10" ht="42.75" customHeight="1">
      <c r="A256" s="43">
        <v>224</v>
      </c>
      <c r="B256" s="33">
        <v>502</v>
      </c>
      <c r="C256" s="34" t="s">
        <v>340</v>
      </c>
      <c r="D256" s="37"/>
      <c r="E256" s="40" t="s">
        <v>424</v>
      </c>
      <c r="F256" s="46">
        <f>SUM(F257)</f>
        <v>0</v>
      </c>
      <c r="G256" s="67"/>
      <c r="H256" s="71"/>
      <c r="I256" s="71"/>
      <c r="J256" s="71"/>
    </row>
    <row r="257" spans="1:10" ht="30" customHeight="1">
      <c r="A257" s="43">
        <v>225</v>
      </c>
      <c r="B257" s="36">
        <v>502</v>
      </c>
      <c r="C257" s="37" t="s">
        <v>340</v>
      </c>
      <c r="D257" s="37" t="s">
        <v>56</v>
      </c>
      <c r="E257" s="38" t="s">
        <v>162</v>
      </c>
      <c r="F257" s="47">
        <f>11591.5-11591.5</f>
        <v>0</v>
      </c>
      <c r="G257" s="67"/>
      <c r="H257" s="71"/>
      <c r="I257" s="71"/>
      <c r="J257" s="71"/>
    </row>
    <row r="258" spans="1:10" ht="39.75" customHeight="1">
      <c r="A258" s="43">
        <v>226</v>
      </c>
      <c r="B258" s="33">
        <v>502</v>
      </c>
      <c r="C258" s="34" t="s">
        <v>128</v>
      </c>
      <c r="D258" s="37"/>
      <c r="E258" s="40" t="s">
        <v>357</v>
      </c>
      <c r="F258" s="46">
        <f>F259+F262+F264+F266+F268+F270+F272+F274+F276+F278</f>
        <v>28259</v>
      </c>
      <c r="G258" s="67"/>
      <c r="H258" s="71"/>
      <c r="I258" s="71"/>
      <c r="J258" s="71"/>
    </row>
    <row r="259" spans="1:10" ht="39.75" customHeight="1">
      <c r="A259" s="43">
        <v>227</v>
      </c>
      <c r="B259" s="33">
        <v>502</v>
      </c>
      <c r="C259" s="34" t="s">
        <v>427</v>
      </c>
      <c r="D259" s="37"/>
      <c r="E259" s="35" t="s">
        <v>428</v>
      </c>
      <c r="F259" s="46">
        <f>SUM(F260+F261)</f>
        <v>42.6</v>
      </c>
      <c r="G259" s="67"/>
      <c r="H259" s="71"/>
      <c r="I259" s="71"/>
      <c r="J259" s="71"/>
    </row>
    <row r="260" spans="1:10" ht="27" customHeight="1">
      <c r="A260" s="43">
        <v>228</v>
      </c>
      <c r="B260" s="36">
        <v>502</v>
      </c>
      <c r="C260" s="37" t="s">
        <v>427</v>
      </c>
      <c r="D260" s="37" t="s">
        <v>56</v>
      </c>
      <c r="E260" s="38" t="s">
        <v>162</v>
      </c>
      <c r="F260" s="47">
        <f>42.6-42.6</f>
        <v>0</v>
      </c>
      <c r="G260" s="67"/>
      <c r="H260" s="71"/>
      <c r="I260" s="71"/>
      <c r="J260" s="71"/>
    </row>
    <row r="261" spans="1:10" ht="18.75" customHeight="1">
      <c r="A261" s="43">
        <v>229</v>
      </c>
      <c r="B261" s="36">
        <v>502</v>
      </c>
      <c r="C261" s="37" t="s">
        <v>427</v>
      </c>
      <c r="D261" s="37" t="s">
        <v>159</v>
      </c>
      <c r="E261" s="38" t="s">
        <v>429</v>
      </c>
      <c r="F261" s="47">
        <v>42.6</v>
      </c>
      <c r="G261" s="67"/>
      <c r="H261" s="71"/>
      <c r="I261" s="71"/>
      <c r="J261" s="71"/>
    </row>
    <row r="262" spans="1:10" ht="51" customHeight="1">
      <c r="A262" s="43">
        <v>230</v>
      </c>
      <c r="B262" s="33">
        <v>502</v>
      </c>
      <c r="C262" s="34" t="s">
        <v>391</v>
      </c>
      <c r="D262" s="37"/>
      <c r="E262" s="40" t="s">
        <v>424</v>
      </c>
      <c r="F262" s="46">
        <f>SUM(F263)</f>
        <v>21264</v>
      </c>
      <c r="G262" s="67"/>
      <c r="H262" s="71"/>
      <c r="I262" s="71"/>
      <c r="J262" s="71"/>
    </row>
    <row r="263" spans="1:10" ht="30.75" customHeight="1">
      <c r="A263" s="43">
        <v>231</v>
      </c>
      <c r="B263" s="33">
        <v>502</v>
      </c>
      <c r="C263" s="34" t="s">
        <v>391</v>
      </c>
      <c r="D263" s="37" t="s">
        <v>56</v>
      </c>
      <c r="E263" s="38" t="s">
        <v>162</v>
      </c>
      <c r="F263" s="46">
        <f>11591.5+9672.5</f>
        <v>21264</v>
      </c>
      <c r="G263" s="67"/>
      <c r="H263" s="71"/>
      <c r="I263" s="71"/>
      <c r="J263" s="71"/>
    </row>
    <row r="264" spans="1:10" ht="72" customHeight="1">
      <c r="A264" s="43">
        <v>232</v>
      </c>
      <c r="B264" s="33">
        <v>502</v>
      </c>
      <c r="C264" s="34" t="s">
        <v>392</v>
      </c>
      <c r="D264" s="37"/>
      <c r="E264" s="35" t="s">
        <v>425</v>
      </c>
      <c r="F264" s="46">
        <f>SUM(F265)</f>
        <v>658.5</v>
      </c>
      <c r="G264" s="67"/>
      <c r="H264" s="71"/>
      <c r="I264" s="71"/>
      <c r="J264" s="71"/>
    </row>
    <row r="265" spans="1:10" ht="30.75" customHeight="1">
      <c r="A265" s="43">
        <v>233</v>
      </c>
      <c r="B265" s="36">
        <v>502</v>
      </c>
      <c r="C265" s="37" t="s">
        <v>392</v>
      </c>
      <c r="D265" s="37" t="s">
        <v>56</v>
      </c>
      <c r="E265" s="38" t="s">
        <v>162</v>
      </c>
      <c r="F265" s="47">
        <f>358.5+300</f>
        <v>658.5</v>
      </c>
      <c r="G265" s="67"/>
      <c r="H265" s="71"/>
      <c r="I265" s="71"/>
      <c r="J265" s="71"/>
    </row>
    <row r="266" spans="1:10" ht="30.75" customHeight="1">
      <c r="A266" s="43">
        <v>234</v>
      </c>
      <c r="B266" s="33">
        <v>502</v>
      </c>
      <c r="C266" s="34" t="s">
        <v>383</v>
      </c>
      <c r="D266" s="37"/>
      <c r="E266" s="35" t="s">
        <v>443</v>
      </c>
      <c r="F266" s="46">
        <f>SUM(F267)</f>
        <v>0</v>
      </c>
      <c r="G266" s="67"/>
      <c r="H266" s="71"/>
      <c r="I266" s="71"/>
      <c r="J266" s="71"/>
    </row>
    <row r="267" spans="1:10" ht="30.75" customHeight="1">
      <c r="A267" s="43">
        <v>235</v>
      </c>
      <c r="B267" s="36">
        <v>502</v>
      </c>
      <c r="C267" s="37" t="s">
        <v>383</v>
      </c>
      <c r="D267" s="37" t="s">
        <v>56</v>
      </c>
      <c r="E267" s="38" t="s">
        <v>162</v>
      </c>
      <c r="F267" s="91">
        <f>6610-2391-4219</f>
        <v>0</v>
      </c>
      <c r="G267" s="67"/>
      <c r="H267" s="71"/>
      <c r="I267" s="71"/>
      <c r="J267" s="71"/>
    </row>
    <row r="268" spans="1:10" ht="32.25" customHeight="1">
      <c r="A268" s="43">
        <v>236</v>
      </c>
      <c r="B268" s="33">
        <v>502</v>
      </c>
      <c r="C268" s="34" t="s">
        <v>446</v>
      </c>
      <c r="D268" s="37"/>
      <c r="E268" s="35" t="s">
        <v>443</v>
      </c>
      <c r="F268" s="46">
        <f>SUM(F269)</f>
        <v>0</v>
      </c>
      <c r="G268" s="67"/>
      <c r="H268" s="71"/>
      <c r="I268" s="71"/>
      <c r="J268" s="71"/>
    </row>
    <row r="269" spans="1:10" ht="28.5" customHeight="1">
      <c r="A269" s="43">
        <v>237</v>
      </c>
      <c r="B269" s="36">
        <v>502</v>
      </c>
      <c r="C269" s="37" t="s">
        <v>446</v>
      </c>
      <c r="D269" s="37" t="s">
        <v>56</v>
      </c>
      <c r="E269" s="38" t="s">
        <v>162</v>
      </c>
      <c r="F269" s="46">
        <f>6610-6610</f>
        <v>0</v>
      </c>
      <c r="G269" s="67"/>
      <c r="H269" s="71"/>
      <c r="I269" s="71"/>
      <c r="J269" s="71"/>
    </row>
    <row r="270" spans="1:10" ht="39" customHeight="1">
      <c r="A270" s="43">
        <v>238</v>
      </c>
      <c r="B270" s="33">
        <v>502</v>
      </c>
      <c r="C270" s="34" t="s">
        <v>407</v>
      </c>
      <c r="D270" s="37"/>
      <c r="E270" s="40" t="s">
        <v>349</v>
      </c>
      <c r="F270" s="46">
        <f>SUM(F271)</f>
        <v>0</v>
      </c>
      <c r="G270" s="67"/>
      <c r="H270" s="71"/>
      <c r="I270" s="71"/>
      <c r="J270" s="71"/>
    </row>
    <row r="271" spans="1:10" ht="28.5" customHeight="1">
      <c r="A271" s="43" t="s">
        <v>509</v>
      </c>
      <c r="B271" s="36">
        <v>502</v>
      </c>
      <c r="C271" s="37" t="s">
        <v>407</v>
      </c>
      <c r="D271" s="37" t="s">
        <v>56</v>
      </c>
      <c r="E271" s="38" t="s">
        <v>162</v>
      </c>
      <c r="F271" s="46">
        <v>0</v>
      </c>
      <c r="G271" s="67"/>
      <c r="H271" s="71"/>
      <c r="I271" s="71"/>
      <c r="J271" s="71"/>
    </row>
    <row r="272" spans="1:10" ht="30" customHeight="1">
      <c r="A272" s="43">
        <v>239</v>
      </c>
      <c r="B272" s="33">
        <v>502</v>
      </c>
      <c r="C272" s="34" t="s">
        <v>447</v>
      </c>
      <c r="D272" s="37"/>
      <c r="E272" s="35" t="s">
        <v>445</v>
      </c>
      <c r="F272" s="46">
        <f>SUM(F273)</f>
        <v>4950</v>
      </c>
      <c r="G272" s="67"/>
      <c r="H272" s="71"/>
      <c r="I272" s="71"/>
      <c r="J272" s="71"/>
    </row>
    <row r="273" spans="1:10" ht="30.75" customHeight="1">
      <c r="A273" s="43" t="s">
        <v>510</v>
      </c>
      <c r="B273" s="36">
        <v>502</v>
      </c>
      <c r="C273" s="37" t="s">
        <v>447</v>
      </c>
      <c r="D273" s="37" t="s">
        <v>56</v>
      </c>
      <c r="E273" s="38" t="s">
        <v>162</v>
      </c>
      <c r="F273" s="47">
        <f>4461+489</f>
        <v>4950</v>
      </c>
      <c r="G273" s="67"/>
      <c r="H273" s="71"/>
      <c r="I273" s="71"/>
      <c r="J273" s="71"/>
    </row>
    <row r="274" spans="1:10" ht="30.75" customHeight="1">
      <c r="A274" s="43">
        <v>240</v>
      </c>
      <c r="B274" s="33">
        <v>502</v>
      </c>
      <c r="C274" s="34" t="s">
        <v>507</v>
      </c>
      <c r="D274" s="37"/>
      <c r="E274" s="35" t="s">
        <v>508</v>
      </c>
      <c r="F274" s="46">
        <f>SUM(F275)</f>
        <v>217.89999999999998</v>
      </c>
      <c r="G274" s="67"/>
      <c r="H274" s="71"/>
      <c r="I274" s="71"/>
      <c r="J274" s="71"/>
    </row>
    <row r="275" spans="1:10" ht="30.75" customHeight="1">
      <c r="A275" s="43" t="s">
        <v>497</v>
      </c>
      <c r="B275" s="36">
        <v>502</v>
      </c>
      <c r="C275" s="37" t="s">
        <v>507</v>
      </c>
      <c r="D275" s="37" t="s">
        <v>56</v>
      </c>
      <c r="E275" s="38" t="s">
        <v>162</v>
      </c>
      <c r="F275" s="90">
        <f>500-282.1</f>
        <v>217.89999999999998</v>
      </c>
      <c r="G275" s="67"/>
      <c r="H275" s="71"/>
      <c r="I275" s="71"/>
      <c r="J275" s="71"/>
    </row>
    <row r="276" spans="1:10" ht="43.5" customHeight="1">
      <c r="A276" s="43">
        <v>241</v>
      </c>
      <c r="B276" s="33">
        <v>502</v>
      </c>
      <c r="C276" s="34" t="s">
        <v>499</v>
      </c>
      <c r="D276" s="34"/>
      <c r="E276" s="35" t="s">
        <v>506</v>
      </c>
      <c r="F276" s="46">
        <f>SUM(F277)</f>
        <v>1126</v>
      </c>
      <c r="G276" s="67"/>
      <c r="H276" s="71"/>
      <c r="I276" s="71"/>
      <c r="J276" s="71"/>
    </row>
    <row r="277" spans="1:10" ht="30.75" customHeight="1">
      <c r="A277" s="43" t="s">
        <v>498</v>
      </c>
      <c r="B277" s="36">
        <v>502</v>
      </c>
      <c r="C277" s="37" t="s">
        <v>499</v>
      </c>
      <c r="D277" s="37" t="s">
        <v>56</v>
      </c>
      <c r="E277" s="38" t="s">
        <v>162</v>
      </c>
      <c r="F277" s="47">
        <v>1126</v>
      </c>
      <c r="G277" s="67"/>
      <c r="H277" s="71"/>
      <c r="I277" s="71"/>
      <c r="J277" s="71"/>
    </row>
    <row r="278" spans="1:10" ht="61.5" customHeight="1">
      <c r="A278" s="43">
        <v>242</v>
      </c>
      <c r="B278" s="33">
        <v>502</v>
      </c>
      <c r="C278" s="34" t="s">
        <v>311</v>
      </c>
      <c r="D278" s="37"/>
      <c r="E278" s="64" t="s">
        <v>90</v>
      </c>
      <c r="F278" s="46">
        <f>SUM(F279)</f>
        <v>0</v>
      </c>
      <c r="G278" s="67"/>
      <c r="H278" s="71"/>
      <c r="I278" s="71"/>
      <c r="J278" s="71"/>
    </row>
    <row r="279" spans="1:10" ht="26.25" customHeight="1">
      <c r="A279" s="43">
        <v>243</v>
      </c>
      <c r="B279" s="36">
        <v>502</v>
      </c>
      <c r="C279" s="37" t="s">
        <v>311</v>
      </c>
      <c r="D279" s="37" t="s">
        <v>48</v>
      </c>
      <c r="E279" s="38" t="s">
        <v>164</v>
      </c>
      <c r="F279" s="46">
        <f>769-769</f>
        <v>0</v>
      </c>
      <c r="G279" s="67"/>
      <c r="H279" s="71"/>
      <c r="I279" s="71"/>
      <c r="J279" s="71"/>
    </row>
    <row r="280" spans="1:10" ht="15.75" customHeight="1">
      <c r="A280" s="43">
        <v>244</v>
      </c>
      <c r="B280" s="33">
        <v>502</v>
      </c>
      <c r="C280" s="34" t="s">
        <v>96</v>
      </c>
      <c r="D280" s="37"/>
      <c r="E280" s="35" t="s">
        <v>436</v>
      </c>
      <c r="F280" s="46">
        <f>SUM(F281+F283)</f>
        <v>2959.6</v>
      </c>
      <c r="G280" s="67"/>
      <c r="H280" s="71"/>
      <c r="I280" s="71"/>
      <c r="J280" s="71"/>
    </row>
    <row r="281" spans="1:10" ht="27.75" customHeight="1">
      <c r="A281" s="43">
        <v>245</v>
      </c>
      <c r="B281" s="33">
        <v>502</v>
      </c>
      <c r="C281" s="34" t="s">
        <v>433</v>
      </c>
      <c r="D281" s="37"/>
      <c r="E281" s="35" t="s">
        <v>434</v>
      </c>
      <c r="F281" s="46">
        <v>1073.5999999999999</v>
      </c>
      <c r="G281" s="72"/>
      <c r="H281" s="71"/>
      <c r="I281" s="71"/>
      <c r="J281" s="71"/>
    </row>
    <row r="282" spans="1:10" ht="30" customHeight="1">
      <c r="A282" s="43" t="s">
        <v>496</v>
      </c>
      <c r="B282" s="36">
        <v>502</v>
      </c>
      <c r="C282" s="37" t="s">
        <v>433</v>
      </c>
      <c r="D282" s="37" t="s">
        <v>56</v>
      </c>
      <c r="E282" s="38" t="s">
        <v>162</v>
      </c>
      <c r="F282" s="47">
        <v>1073.5999999999999</v>
      </c>
      <c r="G282" s="67" t="e">
        <f>#REF!+#REF!+#REF!+#REF!+#REF!</f>
        <v>#REF!</v>
      </c>
      <c r="H282" s="71"/>
      <c r="I282" s="71"/>
      <c r="J282" s="71"/>
    </row>
    <row r="283" spans="1:10" ht="18.75" customHeight="1">
      <c r="A283" s="43">
        <v>247</v>
      </c>
      <c r="B283" s="33">
        <v>502</v>
      </c>
      <c r="C283" s="34" t="s">
        <v>400</v>
      </c>
      <c r="D283" s="37"/>
      <c r="E283" s="35" t="s">
        <v>398</v>
      </c>
      <c r="F283" s="46">
        <f>SUM(F284)</f>
        <v>1886</v>
      </c>
      <c r="G283" s="67"/>
      <c r="H283" s="71"/>
      <c r="I283" s="71"/>
      <c r="J283" s="71"/>
    </row>
    <row r="284" spans="1:10" ht="17.25" customHeight="1">
      <c r="A284" s="43">
        <v>248</v>
      </c>
      <c r="B284" s="36">
        <v>502</v>
      </c>
      <c r="C284" s="37" t="s">
        <v>400</v>
      </c>
      <c r="D284" s="37" t="s">
        <v>401</v>
      </c>
      <c r="E284" s="38" t="s">
        <v>399</v>
      </c>
      <c r="F284" s="47">
        <v>1886</v>
      </c>
      <c r="G284" s="67"/>
      <c r="H284" s="71"/>
      <c r="I284" s="71"/>
      <c r="J284" s="71"/>
    </row>
    <row r="285" spans="1:10" s="5" customFormat="1" ht="23.25" customHeight="1">
      <c r="A285" s="43">
        <v>249</v>
      </c>
      <c r="B285" s="33">
        <v>503</v>
      </c>
      <c r="C285" s="34"/>
      <c r="D285" s="34"/>
      <c r="E285" s="35" t="s">
        <v>16</v>
      </c>
      <c r="F285" s="46">
        <f>F286+F303</f>
        <v>13832.76</v>
      </c>
      <c r="G285" s="67">
        <v>150</v>
      </c>
      <c r="H285" s="70"/>
      <c r="I285" s="70"/>
      <c r="J285" s="70"/>
    </row>
    <row r="286" spans="1:10" s="5" customFormat="1" ht="27.75" customHeight="1">
      <c r="A286" s="43">
        <v>250</v>
      </c>
      <c r="B286" s="33">
        <v>503</v>
      </c>
      <c r="C286" s="34" t="s">
        <v>128</v>
      </c>
      <c r="D286" s="34"/>
      <c r="E286" s="40" t="s">
        <v>357</v>
      </c>
      <c r="F286" s="46">
        <f>SUM(F287+F289+F291+F294+F297+F299+F301)</f>
        <v>8024.16</v>
      </c>
      <c r="G286" s="67"/>
      <c r="H286" s="73"/>
      <c r="I286" s="70"/>
      <c r="J286" s="70"/>
    </row>
    <row r="287" spans="1:10" s="5" customFormat="1" ht="27.75" customHeight="1">
      <c r="A287" s="43">
        <v>251</v>
      </c>
      <c r="B287" s="33">
        <v>503</v>
      </c>
      <c r="C287" s="34" t="s">
        <v>219</v>
      </c>
      <c r="D287" s="34"/>
      <c r="E287" s="35" t="s">
        <v>195</v>
      </c>
      <c r="F287" s="46">
        <f>SUM(F288)</f>
        <v>5358.7</v>
      </c>
      <c r="G287" s="67"/>
      <c r="H287" s="73"/>
      <c r="I287" s="70"/>
      <c r="J287" s="70"/>
    </row>
    <row r="288" spans="1:10" s="5" customFormat="1" ht="27.75" customHeight="1">
      <c r="A288" s="43">
        <v>252</v>
      </c>
      <c r="B288" s="36">
        <v>503</v>
      </c>
      <c r="C288" s="37" t="s">
        <v>219</v>
      </c>
      <c r="D288" s="37" t="s">
        <v>56</v>
      </c>
      <c r="E288" s="38" t="s">
        <v>162</v>
      </c>
      <c r="F288" s="90">
        <f>5195-77.2+244.8-59.9+2.9+46.2-0.7-1.3-4.4+4.4-1.1+10</f>
        <v>5358.7</v>
      </c>
      <c r="G288" s="67"/>
      <c r="H288" s="73"/>
      <c r="I288" s="70"/>
      <c r="J288" s="70"/>
    </row>
    <row r="289" spans="1:10" s="5" customFormat="1" ht="21.75" customHeight="1">
      <c r="A289" s="43">
        <v>253</v>
      </c>
      <c r="B289" s="33">
        <v>503</v>
      </c>
      <c r="C289" s="34" t="s">
        <v>351</v>
      </c>
      <c r="D289" s="37"/>
      <c r="E289" s="35" t="s">
        <v>350</v>
      </c>
      <c r="F289" s="46">
        <f>SUM(F290)</f>
        <v>0</v>
      </c>
      <c r="G289" s="67"/>
      <c r="H289" s="70"/>
      <c r="I289" s="70"/>
      <c r="J289" s="70"/>
    </row>
    <row r="290" spans="1:10" s="4" customFormat="1" ht="30.75" customHeight="1">
      <c r="A290" s="43">
        <v>254</v>
      </c>
      <c r="B290" s="36">
        <v>503</v>
      </c>
      <c r="C290" s="37" t="s">
        <v>351</v>
      </c>
      <c r="D290" s="37" t="s">
        <v>56</v>
      </c>
      <c r="E290" s="38" t="s">
        <v>162</v>
      </c>
      <c r="F290" s="47">
        <f>3246-2968.5-277.5</f>
        <v>0</v>
      </c>
      <c r="G290" s="74"/>
      <c r="H290" s="75"/>
      <c r="I290" s="75"/>
      <c r="J290" s="75"/>
    </row>
    <row r="291" spans="1:10" ht="24.75" customHeight="1">
      <c r="A291" s="43">
        <v>255</v>
      </c>
      <c r="B291" s="33">
        <v>503</v>
      </c>
      <c r="C291" s="34" t="s">
        <v>220</v>
      </c>
      <c r="D291" s="34"/>
      <c r="E291" s="35" t="s">
        <v>17</v>
      </c>
      <c r="F291" s="46">
        <f>SUM(F292+F293)</f>
        <v>798.56</v>
      </c>
      <c r="G291" s="74">
        <v>50</v>
      </c>
      <c r="H291" s="71"/>
      <c r="I291" s="71"/>
      <c r="J291" s="71"/>
    </row>
    <row r="292" spans="1:10" ht="27" customHeight="1">
      <c r="A292" s="43">
        <v>256</v>
      </c>
      <c r="B292" s="36">
        <v>503</v>
      </c>
      <c r="C292" s="37" t="s">
        <v>220</v>
      </c>
      <c r="D292" s="37" t="s">
        <v>56</v>
      </c>
      <c r="E292" s="38" t="s">
        <v>162</v>
      </c>
      <c r="F292" s="47">
        <f>629-175.4-9.1-4-0.04-3.8+351.9</f>
        <v>788.56</v>
      </c>
      <c r="G292" s="74"/>
      <c r="H292" s="97"/>
      <c r="I292" s="97"/>
      <c r="J292" s="97"/>
    </row>
    <row r="293" spans="1:10" ht="23.25" customHeight="1">
      <c r="A293" s="43" t="s">
        <v>513</v>
      </c>
      <c r="B293" s="36">
        <v>503</v>
      </c>
      <c r="C293" s="37" t="s">
        <v>220</v>
      </c>
      <c r="D293" s="37" t="s">
        <v>394</v>
      </c>
      <c r="E293" s="38" t="s">
        <v>419</v>
      </c>
      <c r="F293" s="47">
        <v>10</v>
      </c>
      <c r="G293" s="74"/>
      <c r="H293" s="86"/>
      <c r="I293" s="86"/>
      <c r="J293" s="86"/>
    </row>
    <row r="294" spans="1:10" ht="69" customHeight="1">
      <c r="A294" s="43">
        <v>257</v>
      </c>
      <c r="B294" s="33">
        <v>503</v>
      </c>
      <c r="C294" s="34" t="s">
        <v>221</v>
      </c>
      <c r="D294" s="34"/>
      <c r="E294" s="35" t="s">
        <v>218</v>
      </c>
      <c r="F294" s="46">
        <f>SUM(F295+F296)</f>
        <v>1858.9999999999998</v>
      </c>
      <c r="G294" s="74"/>
      <c r="H294" s="82"/>
      <c r="I294" s="82"/>
      <c r="J294" s="82"/>
    </row>
    <row r="295" spans="1:10" ht="27.75" customHeight="1">
      <c r="A295" s="43">
        <v>258</v>
      </c>
      <c r="B295" s="36">
        <v>503</v>
      </c>
      <c r="C295" s="37" t="s">
        <v>221</v>
      </c>
      <c r="D295" s="37" t="s">
        <v>56</v>
      </c>
      <c r="E295" s="38" t="s">
        <v>162</v>
      </c>
      <c r="F295" s="47">
        <f>1919.9+94.9-200-94.9+263.2+94.9-22.9-30-27+19.1+64.7-2.1-150-57.1-20-5-0.9-69.8</f>
        <v>1776.9999999999998</v>
      </c>
      <c r="G295" s="74"/>
      <c r="H295" s="68"/>
      <c r="I295" s="68"/>
      <c r="J295" s="68"/>
    </row>
    <row r="296" spans="1:10" ht="22.5" customHeight="1">
      <c r="A296" s="43">
        <v>259</v>
      </c>
      <c r="B296" s="36">
        <v>503</v>
      </c>
      <c r="C296" s="37" t="s">
        <v>221</v>
      </c>
      <c r="D296" s="37" t="s">
        <v>394</v>
      </c>
      <c r="E296" s="38" t="s">
        <v>419</v>
      </c>
      <c r="F296" s="47">
        <f>52.9+29.1</f>
        <v>82</v>
      </c>
      <c r="G296" s="74"/>
      <c r="H296" s="68"/>
      <c r="I296" s="68"/>
      <c r="J296" s="68"/>
    </row>
    <row r="297" spans="1:10" ht="27" customHeight="1">
      <c r="A297" s="43">
        <v>260</v>
      </c>
      <c r="B297" s="33">
        <v>503</v>
      </c>
      <c r="C297" s="34" t="s">
        <v>393</v>
      </c>
      <c r="D297" s="37"/>
      <c r="E297" s="35" t="s">
        <v>294</v>
      </c>
      <c r="F297" s="46">
        <f>SUM(F298)</f>
        <v>0</v>
      </c>
      <c r="G297" s="74"/>
      <c r="H297" s="68"/>
      <c r="I297" s="68"/>
      <c r="J297" s="68"/>
    </row>
    <row r="298" spans="1:10" ht="27" customHeight="1">
      <c r="A298" s="43">
        <v>261</v>
      </c>
      <c r="B298" s="36">
        <v>503</v>
      </c>
      <c r="C298" s="37" t="s">
        <v>393</v>
      </c>
      <c r="D298" s="37" t="s">
        <v>56</v>
      </c>
      <c r="E298" s="38" t="s">
        <v>162</v>
      </c>
      <c r="F298" s="47">
        <f>140+5+375.1+100-145-375.1-100</f>
        <v>0</v>
      </c>
      <c r="G298" s="74"/>
      <c r="H298" s="68"/>
      <c r="I298" s="68"/>
      <c r="J298" s="68"/>
    </row>
    <row r="299" spans="1:10" ht="27" customHeight="1">
      <c r="A299" s="43">
        <v>262</v>
      </c>
      <c r="B299" s="33">
        <v>503</v>
      </c>
      <c r="C299" s="34" t="s">
        <v>310</v>
      </c>
      <c r="D299" s="37"/>
      <c r="E299" s="35" t="s">
        <v>294</v>
      </c>
      <c r="F299" s="46">
        <f>SUM(F300)</f>
        <v>0</v>
      </c>
      <c r="G299" s="74"/>
      <c r="H299" s="85"/>
      <c r="I299" s="85"/>
      <c r="J299" s="85"/>
    </row>
    <row r="300" spans="1:10" ht="27" customHeight="1">
      <c r="A300" s="43">
        <v>263</v>
      </c>
      <c r="B300" s="36">
        <v>503</v>
      </c>
      <c r="C300" s="37" t="s">
        <v>310</v>
      </c>
      <c r="D300" s="37" t="s">
        <v>56</v>
      </c>
      <c r="E300" s="38" t="s">
        <v>162</v>
      </c>
      <c r="F300" s="47">
        <f>715-94.9-140-5-375.1-100</f>
        <v>0</v>
      </c>
      <c r="G300" s="74"/>
      <c r="H300" s="85"/>
      <c r="I300" s="85"/>
      <c r="J300" s="85"/>
    </row>
    <row r="301" spans="1:10" ht="17.25" customHeight="1">
      <c r="A301" s="43">
        <v>264</v>
      </c>
      <c r="B301" s="33">
        <v>503</v>
      </c>
      <c r="C301" s="34" t="s">
        <v>410</v>
      </c>
      <c r="D301" s="37"/>
      <c r="E301" s="35" t="s">
        <v>411</v>
      </c>
      <c r="F301" s="46">
        <f>12.6-4.7</f>
        <v>7.8999999999999995</v>
      </c>
      <c r="G301" s="74"/>
      <c r="H301" s="79"/>
      <c r="I301" s="79"/>
      <c r="J301" s="79"/>
    </row>
    <row r="302" spans="1:10" ht="28.5" customHeight="1">
      <c r="A302" s="43">
        <v>265</v>
      </c>
      <c r="B302" s="36">
        <v>503</v>
      </c>
      <c r="C302" s="37" t="s">
        <v>410</v>
      </c>
      <c r="D302" s="37" t="s">
        <v>56</v>
      </c>
      <c r="E302" s="38" t="s">
        <v>162</v>
      </c>
      <c r="F302" s="47">
        <f>12.6-4.7</f>
        <v>7.8999999999999995</v>
      </c>
      <c r="G302" s="74"/>
      <c r="H302" s="79"/>
      <c r="I302" s="79"/>
      <c r="J302" s="79"/>
    </row>
    <row r="303" spans="1:10" ht="26.25" customHeight="1">
      <c r="A303" s="43">
        <v>266</v>
      </c>
      <c r="B303" s="33">
        <v>503</v>
      </c>
      <c r="C303" s="34" t="s">
        <v>96</v>
      </c>
      <c r="D303" s="37"/>
      <c r="E303" s="35" t="s">
        <v>53</v>
      </c>
      <c r="F303" s="46">
        <f>1967.3+3841.3</f>
        <v>5808.6</v>
      </c>
      <c r="G303" s="74"/>
      <c r="H303" s="79"/>
      <c r="I303" s="79"/>
      <c r="J303" s="79"/>
    </row>
    <row r="304" spans="1:10" ht="27.75" customHeight="1">
      <c r="A304" s="43">
        <v>267</v>
      </c>
      <c r="B304" s="33">
        <v>503</v>
      </c>
      <c r="C304" s="34" t="s">
        <v>433</v>
      </c>
      <c r="D304" s="37"/>
      <c r="E304" s="35" t="s">
        <v>434</v>
      </c>
      <c r="F304" s="46">
        <f>1967.3+3841.3</f>
        <v>5808.6</v>
      </c>
      <c r="G304" s="74"/>
      <c r="H304" s="71"/>
      <c r="I304" s="71"/>
      <c r="J304" s="71"/>
    </row>
    <row r="305" spans="1:10" ht="27.75" customHeight="1">
      <c r="A305" s="43">
        <v>268</v>
      </c>
      <c r="B305" s="36">
        <v>503</v>
      </c>
      <c r="C305" s="37" t="s">
        <v>433</v>
      </c>
      <c r="D305" s="37" t="s">
        <v>56</v>
      </c>
      <c r="E305" s="38" t="s">
        <v>162</v>
      </c>
      <c r="F305" s="47">
        <f>1967.3+3841.3</f>
        <v>5808.6</v>
      </c>
      <c r="G305" s="74"/>
      <c r="H305" s="71"/>
      <c r="I305" s="71"/>
      <c r="J305" s="71"/>
    </row>
    <row r="306" spans="1:10" ht="26.25" customHeight="1">
      <c r="A306" s="43">
        <v>269</v>
      </c>
      <c r="B306" s="33">
        <v>503</v>
      </c>
      <c r="C306" s="34" t="s">
        <v>328</v>
      </c>
      <c r="D306" s="37"/>
      <c r="E306" s="64" t="s">
        <v>361</v>
      </c>
      <c r="F306" s="46">
        <v>0</v>
      </c>
      <c r="G306" s="74"/>
      <c r="H306" s="71"/>
      <c r="I306" s="71"/>
      <c r="J306" s="71"/>
    </row>
    <row r="307" spans="1:10" ht="22.5" customHeight="1">
      <c r="A307" s="43">
        <v>270</v>
      </c>
      <c r="B307" s="33">
        <v>505</v>
      </c>
      <c r="C307" s="37"/>
      <c r="D307" s="37"/>
      <c r="E307" s="35" t="s">
        <v>327</v>
      </c>
      <c r="F307" s="46">
        <f>F308</f>
        <v>356.1</v>
      </c>
      <c r="G307" s="74"/>
      <c r="H307" s="71"/>
      <c r="I307" s="71"/>
      <c r="J307" s="71"/>
    </row>
    <row r="308" spans="1:10" ht="41.25" customHeight="1">
      <c r="A308" s="43">
        <v>271</v>
      </c>
      <c r="B308" s="33">
        <v>505</v>
      </c>
      <c r="C308" s="34" t="s">
        <v>128</v>
      </c>
      <c r="D308" s="37"/>
      <c r="E308" s="40" t="s">
        <v>357</v>
      </c>
      <c r="F308" s="46">
        <f>F309</f>
        <v>356.1</v>
      </c>
      <c r="G308" s="74"/>
      <c r="H308" s="71"/>
      <c r="I308" s="71"/>
      <c r="J308" s="71"/>
    </row>
    <row r="309" spans="1:10" ht="52.5" customHeight="1">
      <c r="A309" s="43">
        <v>272</v>
      </c>
      <c r="B309" s="33">
        <v>505</v>
      </c>
      <c r="C309" s="34" t="s">
        <v>310</v>
      </c>
      <c r="D309" s="37"/>
      <c r="E309" s="40" t="s">
        <v>332</v>
      </c>
      <c r="F309" s="46">
        <f>F310</f>
        <v>356.1</v>
      </c>
      <c r="G309" s="72"/>
      <c r="H309" s="71"/>
      <c r="I309" s="71"/>
      <c r="J309" s="71"/>
    </row>
    <row r="310" spans="1:10" ht="30" customHeight="1">
      <c r="A310" s="43">
        <v>273</v>
      </c>
      <c r="B310" s="36">
        <v>505</v>
      </c>
      <c r="C310" s="37" t="s">
        <v>310</v>
      </c>
      <c r="D310" s="37" t="s">
        <v>56</v>
      </c>
      <c r="E310" s="38" t="s">
        <v>162</v>
      </c>
      <c r="F310" s="92">
        <f>200+205.1+50+37.3-48.9-94.8-8.6+16</f>
        <v>356.1</v>
      </c>
      <c r="G310" s="72"/>
      <c r="H310" s="71"/>
      <c r="I310" s="71"/>
      <c r="J310" s="71"/>
    </row>
    <row r="311" spans="1:10" ht="24.75" customHeight="1">
      <c r="A311" s="43">
        <v>274</v>
      </c>
      <c r="B311" s="33">
        <v>600</v>
      </c>
      <c r="C311" s="34"/>
      <c r="D311" s="34"/>
      <c r="E311" s="53" t="s">
        <v>18</v>
      </c>
      <c r="F311" s="46">
        <f>SUM(F312+F316)</f>
        <v>503.80000000000007</v>
      </c>
      <c r="G311" s="67" t="e">
        <f>G312</f>
        <v>#REF!</v>
      </c>
      <c r="H311" s="71"/>
      <c r="I311" s="71"/>
      <c r="J311" s="71"/>
    </row>
    <row r="312" spans="1:10" ht="27.75" customHeight="1">
      <c r="A312" s="43">
        <v>275</v>
      </c>
      <c r="B312" s="33">
        <v>603</v>
      </c>
      <c r="C312" s="34"/>
      <c r="D312" s="34"/>
      <c r="E312" s="35" t="s">
        <v>153</v>
      </c>
      <c r="F312" s="46">
        <f>SUM(F313)</f>
        <v>503.80000000000007</v>
      </c>
      <c r="G312" s="67" t="e">
        <f>G313+#REF!+#REF!</f>
        <v>#REF!</v>
      </c>
      <c r="H312" s="71"/>
      <c r="I312" s="71"/>
      <c r="J312" s="71"/>
    </row>
    <row r="313" spans="1:10" ht="39.75" customHeight="1">
      <c r="A313" s="43">
        <v>276</v>
      </c>
      <c r="B313" s="33">
        <v>603</v>
      </c>
      <c r="C313" s="34" t="s">
        <v>157</v>
      </c>
      <c r="D313" s="34"/>
      <c r="E313" s="35" t="s">
        <v>362</v>
      </c>
      <c r="F313" s="46">
        <f>SUM(F314)</f>
        <v>503.80000000000007</v>
      </c>
      <c r="G313" s="67">
        <f>G315</f>
        <v>581</v>
      </c>
      <c r="H313" s="71"/>
      <c r="I313" s="71"/>
      <c r="J313" s="71"/>
    </row>
    <row r="314" spans="1:10" ht="41.25" customHeight="1">
      <c r="A314" s="43">
        <v>277</v>
      </c>
      <c r="B314" s="33">
        <v>603</v>
      </c>
      <c r="C314" s="34" t="s">
        <v>131</v>
      </c>
      <c r="D314" s="37"/>
      <c r="E314" s="35" t="s">
        <v>69</v>
      </c>
      <c r="F314" s="46">
        <f>F315</f>
        <v>503.80000000000007</v>
      </c>
      <c r="G314" s="67"/>
      <c r="H314" s="71"/>
      <c r="I314" s="71"/>
      <c r="J314" s="71"/>
    </row>
    <row r="315" spans="1:10" ht="27" customHeight="1">
      <c r="A315" s="43">
        <v>278</v>
      </c>
      <c r="B315" s="36">
        <v>603</v>
      </c>
      <c r="C315" s="37" t="s">
        <v>131</v>
      </c>
      <c r="D315" s="37" t="s">
        <v>56</v>
      </c>
      <c r="E315" s="38" t="s">
        <v>162</v>
      </c>
      <c r="F315" s="47">
        <f>334.6+226.5+25+44.2-388+145+2.5+57-24.3+9.4+24.3+23.9+25+1+5.1-7.4</f>
        <v>503.80000000000007</v>
      </c>
      <c r="G315" s="67">
        <f>G316</f>
        <v>581</v>
      </c>
      <c r="H315" s="76"/>
      <c r="I315" s="71"/>
      <c r="J315" s="71"/>
    </row>
    <row r="316" spans="1:10" ht="41.25" customHeight="1">
      <c r="A316" s="43">
        <v>279</v>
      </c>
      <c r="B316" s="33">
        <v>603</v>
      </c>
      <c r="C316" s="34" t="s">
        <v>408</v>
      </c>
      <c r="D316" s="34"/>
      <c r="E316" s="35" t="s">
        <v>409</v>
      </c>
      <c r="F316" s="46">
        <v>0</v>
      </c>
      <c r="G316" s="72">
        <v>581</v>
      </c>
      <c r="H316" s="71"/>
      <c r="I316" s="71"/>
      <c r="J316" s="71"/>
    </row>
    <row r="317" spans="1:10" ht="23.25" customHeight="1">
      <c r="A317" s="43">
        <v>280</v>
      </c>
      <c r="B317" s="33">
        <v>700</v>
      </c>
      <c r="C317" s="34"/>
      <c r="D317" s="34"/>
      <c r="E317" s="53" t="s">
        <v>19</v>
      </c>
      <c r="F317" s="46">
        <f>SUM(F318+F330+F355+F364+F376)</f>
        <v>209520.90200000003</v>
      </c>
      <c r="G317" s="72"/>
      <c r="H317" s="71"/>
      <c r="I317" s="71"/>
      <c r="J317" s="71"/>
    </row>
    <row r="318" spans="1:10" ht="32.25" customHeight="1">
      <c r="A318" s="43">
        <v>281</v>
      </c>
      <c r="B318" s="33">
        <v>701</v>
      </c>
      <c r="C318" s="34"/>
      <c r="D318" s="34"/>
      <c r="E318" s="35" t="s">
        <v>20</v>
      </c>
      <c r="F318" s="46">
        <f>SUM(F319)</f>
        <v>51959.200000000004</v>
      </c>
      <c r="G318" s="72"/>
      <c r="H318" s="71"/>
      <c r="I318" s="71"/>
      <c r="J318" s="71"/>
    </row>
    <row r="319" spans="1:10" ht="54" customHeight="1">
      <c r="A319" s="43">
        <v>282</v>
      </c>
      <c r="B319" s="33">
        <v>701</v>
      </c>
      <c r="C319" s="34" t="s">
        <v>132</v>
      </c>
      <c r="D319" s="37"/>
      <c r="E319" s="35" t="s">
        <v>276</v>
      </c>
      <c r="F319" s="46">
        <f>SUM(F320+F323+F325)</f>
        <v>51959.200000000004</v>
      </c>
      <c r="G319" s="72"/>
      <c r="H319" s="71"/>
      <c r="I319" s="71"/>
      <c r="J319" s="71"/>
    </row>
    <row r="320" spans="1:10" ht="30" customHeight="1">
      <c r="A320" s="43">
        <v>283</v>
      </c>
      <c r="B320" s="33">
        <v>701</v>
      </c>
      <c r="C320" s="34" t="s">
        <v>284</v>
      </c>
      <c r="D320" s="34"/>
      <c r="E320" s="35" t="s">
        <v>222</v>
      </c>
      <c r="F320" s="46">
        <f>SUM(F321)</f>
        <v>27150.7</v>
      </c>
      <c r="G320" s="72"/>
      <c r="H320" s="77"/>
      <c r="I320" s="71"/>
      <c r="J320" s="71"/>
    </row>
    <row r="321" spans="1:10" ht="67.5" customHeight="1">
      <c r="A321" s="43">
        <v>284</v>
      </c>
      <c r="B321" s="33">
        <v>701</v>
      </c>
      <c r="C321" s="34" t="s">
        <v>133</v>
      </c>
      <c r="D321" s="34"/>
      <c r="E321" s="35" t="s">
        <v>70</v>
      </c>
      <c r="F321" s="46">
        <f>SUM(F322:F322)</f>
        <v>27150.7</v>
      </c>
      <c r="G321" s="72"/>
      <c r="H321" s="77"/>
      <c r="I321" s="71"/>
      <c r="J321" s="71"/>
    </row>
    <row r="322" spans="1:10" ht="24" customHeight="1">
      <c r="A322" s="43">
        <v>285</v>
      </c>
      <c r="B322" s="36">
        <v>701</v>
      </c>
      <c r="C322" s="37" t="s">
        <v>133</v>
      </c>
      <c r="D322" s="37" t="s">
        <v>248</v>
      </c>
      <c r="E322" s="38" t="s">
        <v>249</v>
      </c>
      <c r="F322" s="47">
        <f>29075-400-394.3-1130</f>
        <v>27150.7</v>
      </c>
      <c r="G322" s="72"/>
      <c r="H322" s="77"/>
      <c r="I322" s="71"/>
      <c r="J322" s="71"/>
    </row>
    <row r="323" spans="1:10" ht="81.75" customHeight="1">
      <c r="A323" s="43">
        <v>286</v>
      </c>
      <c r="B323" s="33">
        <v>701</v>
      </c>
      <c r="C323" s="34" t="s">
        <v>462</v>
      </c>
      <c r="D323" s="37"/>
      <c r="E323" s="35" t="s">
        <v>461</v>
      </c>
      <c r="F323" s="46">
        <f>SUM(F324:F324)</f>
        <v>138.9</v>
      </c>
      <c r="G323" s="72"/>
      <c r="H323" s="71"/>
      <c r="I323" s="71"/>
      <c r="J323" s="71"/>
    </row>
    <row r="324" spans="1:10" ht="27" customHeight="1">
      <c r="A324" s="43">
        <v>287</v>
      </c>
      <c r="B324" s="36">
        <v>701</v>
      </c>
      <c r="C324" s="37" t="s">
        <v>462</v>
      </c>
      <c r="D324" s="37" t="s">
        <v>248</v>
      </c>
      <c r="E324" s="38" t="s">
        <v>249</v>
      </c>
      <c r="F324" s="47">
        <v>138.9</v>
      </c>
      <c r="G324" s="67"/>
      <c r="H324" s="71"/>
      <c r="I324" s="71"/>
      <c r="J324" s="71"/>
    </row>
    <row r="325" spans="1:10" ht="52.5" customHeight="1">
      <c r="A325" s="43">
        <v>288</v>
      </c>
      <c r="B325" s="33">
        <v>701</v>
      </c>
      <c r="C325" s="34" t="s">
        <v>134</v>
      </c>
      <c r="D325" s="37"/>
      <c r="E325" s="35" t="s">
        <v>71</v>
      </c>
      <c r="F325" s="46">
        <f>SUM(F326+F328)</f>
        <v>24669.600000000002</v>
      </c>
      <c r="G325" s="67"/>
      <c r="H325" s="71"/>
      <c r="I325" s="71"/>
      <c r="J325" s="71"/>
    </row>
    <row r="326" spans="1:10" ht="81" customHeight="1">
      <c r="A326" s="43">
        <v>289</v>
      </c>
      <c r="B326" s="33">
        <v>701</v>
      </c>
      <c r="C326" s="34" t="s">
        <v>161</v>
      </c>
      <c r="D326" s="34"/>
      <c r="E326" s="35" t="s">
        <v>72</v>
      </c>
      <c r="F326" s="46">
        <f>SUM(F327:F327)</f>
        <v>24401.600000000002</v>
      </c>
      <c r="G326" s="67"/>
      <c r="H326" s="71"/>
      <c r="I326" s="71"/>
      <c r="J326" s="71"/>
    </row>
    <row r="327" spans="1:10" ht="18.75" customHeight="1">
      <c r="A327" s="43">
        <v>290</v>
      </c>
      <c r="B327" s="36">
        <v>701</v>
      </c>
      <c r="C327" s="37" t="s">
        <v>161</v>
      </c>
      <c r="D327" s="37" t="s">
        <v>248</v>
      </c>
      <c r="E327" s="38" t="s">
        <v>249</v>
      </c>
      <c r="F327" s="47">
        <f>23169+122.4+54.5+1055.7</f>
        <v>24401.600000000002</v>
      </c>
      <c r="G327" s="67"/>
      <c r="H327" s="71"/>
      <c r="I327" s="71"/>
      <c r="J327" s="71"/>
    </row>
    <row r="328" spans="1:10" ht="79.5" customHeight="1">
      <c r="A328" s="43">
        <v>291</v>
      </c>
      <c r="B328" s="33">
        <v>701</v>
      </c>
      <c r="C328" s="34" t="s">
        <v>225</v>
      </c>
      <c r="D328" s="34"/>
      <c r="E328" s="35" t="s">
        <v>73</v>
      </c>
      <c r="F328" s="46">
        <f>SUM(F329:F329)</f>
        <v>268</v>
      </c>
      <c r="G328" s="67"/>
      <c r="H328" s="76"/>
      <c r="I328" s="71"/>
      <c r="J328" s="71"/>
    </row>
    <row r="329" spans="1:10" ht="38.25" customHeight="1">
      <c r="A329" s="43">
        <v>292</v>
      </c>
      <c r="B329" s="36">
        <v>701</v>
      </c>
      <c r="C329" s="37" t="s">
        <v>225</v>
      </c>
      <c r="D329" s="37" t="s">
        <v>248</v>
      </c>
      <c r="E329" s="38" t="s">
        <v>249</v>
      </c>
      <c r="F329" s="47">
        <f>246+22</f>
        <v>268</v>
      </c>
      <c r="G329" s="67">
        <f>G331</f>
        <v>81276</v>
      </c>
      <c r="H329" s="71"/>
      <c r="I329" s="71"/>
      <c r="J329" s="71"/>
    </row>
    <row r="330" spans="1:10" ht="21.75" customHeight="1">
      <c r="A330" s="43">
        <v>293</v>
      </c>
      <c r="B330" s="33">
        <v>702</v>
      </c>
      <c r="C330" s="34"/>
      <c r="D330" s="34"/>
      <c r="E330" s="35" t="s">
        <v>21</v>
      </c>
      <c r="F330" s="46">
        <f>SUM(F331+F354)</f>
        <v>142529.40200000003</v>
      </c>
      <c r="G330" s="67"/>
      <c r="H330" s="71"/>
      <c r="I330" s="71"/>
      <c r="J330" s="71"/>
    </row>
    <row r="331" spans="1:10" ht="39.75" customHeight="1">
      <c r="A331" s="43">
        <v>294</v>
      </c>
      <c r="B331" s="33">
        <v>702</v>
      </c>
      <c r="C331" s="34" t="s">
        <v>132</v>
      </c>
      <c r="D331" s="34"/>
      <c r="E331" s="35" t="s">
        <v>276</v>
      </c>
      <c r="F331" s="46">
        <f>SUM(F332+F343+F348+F350+F352)</f>
        <v>142529.40200000003</v>
      </c>
      <c r="G331" s="72">
        <v>81276</v>
      </c>
      <c r="H331" s="71"/>
      <c r="I331" s="71"/>
      <c r="J331" s="71"/>
    </row>
    <row r="332" spans="1:10" ht="36.75" customHeight="1">
      <c r="A332" s="43">
        <v>295</v>
      </c>
      <c r="B332" s="33">
        <v>702</v>
      </c>
      <c r="C332" s="34" t="s">
        <v>280</v>
      </c>
      <c r="D332" s="34"/>
      <c r="E332" s="35" t="s">
        <v>240</v>
      </c>
      <c r="F332" s="46">
        <f>SUM(F333+F335+F337+F339+F341)</f>
        <v>71820.002000000022</v>
      </c>
      <c r="G332" s="72"/>
      <c r="H332" s="76"/>
      <c r="I332" s="71"/>
      <c r="J332" s="71"/>
    </row>
    <row r="333" spans="1:10" ht="41.25" customHeight="1">
      <c r="A333" s="43">
        <v>296</v>
      </c>
      <c r="B333" s="33">
        <v>702</v>
      </c>
      <c r="C333" s="34" t="s">
        <v>226</v>
      </c>
      <c r="D333" s="34"/>
      <c r="E333" s="35" t="s">
        <v>74</v>
      </c>
      <c r="F333" s="46">
        <f>SUM(F334:F334)</f>
        <v>35391.200000000019</v>
      </c>
      <c r="G333" s="72"/>
      <c r="H333" s="76"/>
      <c r="I333" s="71"/>
      <c r="J333" s="71"/>
    </row>
    <row r="334" spans="1:10" ht="21.75" customHeight="1">
      <c r="A334" s="43">
        <v>297</v>
      </c>
      <c r="B334" s="36">
        <v>702</v>
      </c>
      <c r="C334" s="37" t="s">
        <v>226</v>
      </c>
      <c r="D334" s="37" t="s">
        <v>248</v>
      </c>
      <c r="E334" s="38" t="s">
        <v>249</v>
      </c>
      <c r="F334" s="90">
        <f>32118+1591.3+156.4-300+615+80+700+69.8-471.5+100+100+48.8+21.5-0.7+0.8+346.5+215.3</f>
        <v>35391.200000000019</v>
      </c>
      <c r="G334" s="72"/>
      <c r="H334" s="76"/>
      <c r="I334" s="71"/>
      <c r="J334" s="71"/>
    </row>
    <row r="335" spans="1:10" ht="66.75" customHeight="1">
      <c r="A335" s="43">
        <v>298</v>
      </c>
      <c r="B335" s="33">
        <v>702</v>
      </c>
      <c r="C335" s="34" t="s">
        <v>464</v>
      </c>
      <c r="D335" s="37"/>
      <c r="E335" s="35" t="s">
        <v>463</v>
      </c>
      <c r="F335" s="46">
        <f>SUM(F336:F336)</f>
        <v>254.5</v>
      </c>
      <c r="G335" s="72"/>
      <c r="H335" s="76"/>
      <c r="I335" s="71"/>
      <c r="J335" s="71"/>
    </row>
    <row r="336" spans="1:10" ht="26.25" customHeight="1">
      <c r="A336" s="43">
        <v>299</v>
      </c>
      <c r="B336" s="36">
        <v>702</v>
      </c>
      <c r="C336" s="37" t="s">
        <v>464</v>
      </c>
      <c r="D336" s="37" t="s">
        <v>248</v>
      </c>
      <c r="E336" s="38" t="s">
        <v>249</v>
      </c>
      <c r="F336" s="47">
        <v>254.5</v>
      </c>
      <c r="G336" s="72"/>
      <c r="H336" s="76"/>
      <c r="I336" s="71"/>
      <c r="J336" s="71"/>
    </row>
    <row r="337" spans="1:10" ht="38.25" customHeight="1">
      <c r="A337" s="43">
        <v>300</v>
      </c>
      <c r="B337" s="33">
        <v>702</v>
      </c>
      <c r="C337" s="37" t="s">
        <v>342</v>
      </c>
      <c r="D337" s="37"/>
      <c r="E337" s="35" t="s">
        <v>376</v>
      </c>
      <c r="F337" s="46">
        <f>SUM(F338:F338)</f>
        <v>17423</v>
      </c>
      <c r="G337" s="72"/>
      <c r="H337" s="76"/>
      <c r="I337" s="71"/>
      <c r="J337" s="71"/>
    </row>
    <row r="338" spans="1:10" ht="27" customHeight="1">
      <c r="A338" s="43">
        <v>301</v>
      </c>
      <c r="B338" s="36">
        <v>702</v>
      </c>
      <c r="C338" s="37" t="s">
        <v>342</v>
      </c>
      <c r="D338" s="37" t="s">
        <v>56</v>
      </c>
      <c r="E338" s="38" t="s">
        <v>162</v>
      </c>
      <c r="F338" s="90">
        <f>17688.4-265.4</f>
        <v>17423</v>
      </c>
      <c r="G338" s="72"/>
      <c r="H338" s="76"/>
      <c r="I338" s="71"/>
      <c r="J338" s="71"/>
    </row>
    <row r="339" spans="1:10" ht="43.5" customHeight="1">
      <c r="A339" s="43">
        <v>302</v>
      </c>
      <c r="B339" s="33">
        <v>702</v>
      </c>
      <c r="C339" s="34" t="s">
        <v>423</v>
      </c>
      <c r="D339" s="37"/>
      <c r="E339" s="35" t="s">
        <v>321</v>
      </c>
      <c r="F339" s="46">
        <f>SUM(F340:F340)</f>
        <v>4672</v>
      </c>
      <c r="G339" s="72"/>
      <c r="H339" s="76"/>
      <c r="I339" s="71"/>
      <c r="J339" s="71"/>
    </row>
    <row r="340" spans="1:10" ht="27" customHeight="1">
      <c r="A340" s="43">
        <v>303</v>
      </c>
      <c r="B340" s="36">
        <v>702</v>
      </c>
      <c r="C340" s="37" t="s">
        <v>423</v>
      </c>
      <c r="D340" s="37" t="s">
        <v>248</v>
      </c>
      <c r="E340" s="38" t="s">
        <v>249</v>
      </c>
      <c r="F340" s="47">
        <v>4672</v>
      </c>
      <c r="G340" s="72"/>
      <c r="H340" s="76"/>
      <c r="I340" s="71"/>
      <c r="J340" s="71"/>
    </row>
    <row r="341" spans="1:10" ht="42" customHeight="1">
      <c r="A341" s="43">
        <v>304</v>
      </c>
      <c r="B341" s="33">
        <v>702</v>
      </c>
      <c r="C341" s="37" t="s">
        <v>375</v>
      </c>
      <c r="D341" s="37"/>
      <c r="E341" s="35" t="s">
        <v>477</v>
      </c>
      <c r="F341" s="46">
        <f>SUM(F342:F342)</f>
        <v>14079.302</v>
      </c>
      <c r="G341" s="72"/>
      <c r="H341" s="76" t="s">
        <v>338</v>
      </c>
      <c r="I341" s="71"/>
      <c r="J341" s="71"/>
    </row>
    <row r="342" spans="1:10" ht="27.75" customHeight="1">
      <c r="A342" s="43">
        <v>305</v>
      </c>
      <c r="B342" s="36">
        <v>702</v>
      </c>
      <c r="C342" s="37" t="s">
        <v>375</v>
      </c>
      <c r="D342" s="37" t="s">
        <v>56</v>
      </c>
      <c r="E342" s="38" t="s">
        <v>162</v>
      </c>
      <c r="F342" s="46">
        <f>21700-227.7-7000+0.002-393</f>
        <v>14079.302</v>
      </c>
      <c r="G342" s="72"/>
      <c r="H342" s="76"/>
      <c r="I342" s="71"/>
      <c r="J342" s="71"/>
    </row>
    <row r="343" spans="1:10" ht="93.75" customHeight="1">
      <c r="A343" s="43">
        <v>306</v>
      </c>
      <c r="B343" s="33">
        <v>702</v>
      </c>
      <c r="C343" s="34" t="s">
        <v>227</v>
      </c>
      <c r="D343" s="37"/>
      <c r="E343" s="35" t="s">
        <v>223</v>
      </c>
      <c r="F343" s="46">
        <f>SUM(F344+F346)</f>
        <v>64054.8</v>
      </c>
      <c r="G343" s="72"/>
      <c r="H343" s="71"/>
      <c r="I343" s="71"/>
      <c r="J343" s="71"/>
    </row>
    <row r="344" spans="1:10" ht="83.25" customHeight="1">
      <c r="A344" s="43">
        <v>307</v>
      </c>
      <c r="B344" s="33">
        <v>702</v>
      </c>
      <c r="C344" s="34" t="s">
        <v>228</v>
      </c>
      <c r="D344" s="34"/>
      <c r="E344" s="35" t="s">
        <v>75</v>
      </c>
      <c r="F344" s="46">
        <f>SUM(F345:F345)</f>
        <v>61942.8</v>
      </c>
      <c r="G344" s="67"/>
      <c r="H344" s="71"/>
      <c r="I344" s="71"/>
      <c r="J344" s="71"/>
    </row>
    <row r="345" spans="1:10" ht="23.25" customHeight="1">
      <c r="A345" s="43">
        <v>308</v>
      </c>
      <c r="B345" s="36">
        <v>702</v>
      </c>
      <c r="C345" s="37" t="s">
        <v>228</v>
      </c>
      <c r="D345" s="37" t="s">
        <v>248</v>
      </c>
      <c r="E345" s="38" t="s">
        <v>249</v>
      </c>
      <c r="F345" s="47">
        <f>61776+166.8</f>
        <v>61942.8</v>
      </c>
      <c r="G345" s="67"/>
      <c r="H345" s="71"/>
      <c r="I345" s="71"/>
      <c r="J345" s="71"/>
    </row>
    <row r="346" spans="1:10" ht="118.5" customHeight="1">
      <c r="A346" s="43">
        <v>309</v>
      </c>
      <c r="B346" s="33">
        <v>702</v>
      </c>
      <c r="C346" s="34" t="s">
        <v>229</v>
      </c>
      <c r="D346" s="34"/>
      <c r="E346" s="65" t="s">
        <v>186</v>
      </c>
      <c r="F346" s="46">
        <f>SUM(F347:F347)</f>
        <v>2112</v>
      </c>
      <c r="G346" s="67"/>
      <c r="H346" s="71"/>
      <c r="I346" s="71"/>
      <c r="J346" s="71"/>
    </row>
    <row r="347" spans="1:10" ht="23.25" customHeight="1">
      <c r="A347" s="43">
        <v>310</v>
      </c>
      <c r="B347" s="36">
        <v>702</v>
      </c>
      <c r="C347" s="37" t="s">
        <v>229</v>
      </c>
      <c r="D347" s="37" t="s">
        <v>248</v>
      </c>
      <c r="E347" s="38" t="s">
        <v>249</v>
      </c>
      <c r="F347" s="47">
        <v>2112</v>
      </c>
      <c r="G347" s="67"/>
      <c r="H347" s="71"/>
      <c r="I347" s="71"/>
      <c r="J347" s="71"/>
    </row>
    <row r="348" spans="1:10" ht="43.5" customHeight="1">
      <c r="A348" s="43">
        <v>311</v>
      </c>
      <c r="B348" s="33">
        <v>702</v>
      </c>
      <c r="C348" s="34" t="s">
        <v>402</v>
      </c>
      <c r="D348" s="37"/>
      <c r="E348" s="35" t="s">
        <v>403</v>
      </c>
      <c r="F348" s="46">
        <f>SUM(F349:F349)</f>
        <v>10</v>
      </c>
      <c r="G348" s="67"/>
      <c r="H348" s="71"/>
      <c r="I348" s="71"/>
      <c r="J348" s="71"/>
    </row>
    <row r="349" spans="1:10" ht="27" customHeight="1">
      <c r="A349" s="43">
        <v>312</v>
      </c>
      <c r="B349" s="36">
        <v>702</v>
      </c>
      <c r="C349" s="37" t="s">
        <v>402</v>
      </c>
      <c r="D349" s="37" t="s">
        <v>56</v>
      </c>
      <c r="E349" s="38" t="s">
        <v>162</v>
      </c>
      <c r="F349" s="46">
        <f>7000-0.002+0.002-6990</f>
        <v>10</v>
      </c>
      <c r="G349" s="67"/>
      <c r="H349" s="71"/>
      <c r="I349" s="71"/>
      <c r="J349" s="71"/>
    </row>
    <row r="350" spans="1:10" ht="39.75" customHeight="1">
      <c r="A350" s="43">
        <v>313</v>
      </c>
      <c r="B350" s="33">
        <v>702</v>
      </c>
      <c r="C350" s="34" t="s">
        <v>296</v>
      </c>
      <c r="D350" s="37"/>
      <c r="E350" s="35" t="s">
        <v>295</v>
      </c>
      <c r="F350" s="46">
        <f>SUM(F351:F351)</f>
        <v>3518</v>
      </c>
      <c r="G350" s="67"/>
      <c r="H350" s="71"/>
      <c r="I350" s="71"/>
      <c r="J350" s="71"/>
    </row>
    <row r="351" spans="1:10" ht="23.25" customHeight="1">
      <c r="A351" s="43">
        <v>314</v>
      </c>
      <c r="B351" s="36">
        <v>702</v>
      </c>
      <c r="C351" s="37" t="s">
        <v>296</v>
      </c>
      <c r="D351" s="37" t="s">
        <v>248</v>
      </c>
      <c r="E351" s="38" t="s">
        <v>249</v>
      </c>
      <c r="F351" s="47">
        <f>3624-60-46-270+270</f>
        <v>3518</v>
      </c>
      <c r="G351" s="67"/>
      <c r="H351" s="71"/>
      <c r="I351" s="71"/>
      <c r="J351" s="71"/>
    </row>
    <row r="352" spans="1:10" ht="66.75" customHeight="1">
      <c r="A352" s="43">
        <v>315</v>
      </c>
      <c r="B352" s="33">
        <v>702</v>
      </c>
      <c r="C352" s="34" t="s">
        <v>377</v>
      </c>
      <c r="D352" s="37"/>
      <c r="E352" s="35" t="s">
        <v>322</v>
      </c>
      <c r="F352" s="46">
        <f>SUM(F353:F353)</f>
        <v>3126.6</v>
      </c>
      <c r="G352" s="78"/>
      <c r="H352" s="71"/>
      <c r="I352" s="71"/>
      <c r="J352" s="71"/>
    </row>
    <row r="353" spans="1:15" ht="24" customHeight="1">
      <c r="A353" s="43">
        <v>316</v>
      </c>
      <c r="B353" s="36">
        <v>702</v>
      </c>
      <c r="C353" s="37" t="s">
        <v>377</v>
      </c>
      <c r="D353" s="37" t="s">
        <v>248</v>
      </c>
      <c r="E353" s="38" t="s">
        <v>249</v>
      </c>
      <c r="F353" s="47">
        <v>3126.6</v>
      </c>
      <c r="G353" s="67"/>
      <c r="H353" s="71"/>
      <c r="I353" s="71"/>
      <c r="J353" s="71"/>
    </row>
    <row r="354" spans="1:15" ht="40.5" customHeight="1">
      <c r="A354" s="43">
        <v>317</v>
      </c>
      <c r="B354" s="33">
        <v>702</v>
      </c>
      <c r="C354" s="34" t="s">
        <v>166</v>
      </c>
      <c r="D354" s="34"/>
      <c r="E354" s="35" t="s">
        <v>265</v>
      </c>
      <c r="F354" s="46">
        <v>0</v>
      </c>
      <c r="G354" s="67"/>
      <c r="H354" s="71"/>
      <c r="I354" s="71"/>
      <c r="J354" s="71"/>
    </row>
    <row r="355" spans="1:15" ht="38.25" customHeight="1">
      <c r="A355" s="43">
        <v>318</v>
      </c>
      <c r="B355" s="33">
        <v>703</v>
      </c>
      <c r="C355" s="34"/>
      <c r="D355" s="34"/>
      <c r="E355" s="35" t="s">
        <v>178</v>
      </c>
      <c r="F355" s="46">
        <f>SUM(F356)</f>
        <v>8746.2999999999993</v>
      </c>
      <c r="G355" s="67"/>
      <c r="H355" s="71"/>
      <c r="I355" s="71"/>
      <c r="J355" s="71"/>
      <c r="M355" s="2"/>
    </row>
    <row r="356" spans="1:15" ht="40.5" customHeight="1">
      <c r="A356" s="43">
        <v>319</v>
      </c>
      <c r="B356" s="33">
        <v>703</v>
      </c>
      <c r="C356" s="34" t="s">
        <v>132</v>
      </c>
      <c r="D356" s="34"/>
      <c r="E356" s="35" t="s">
        <v>276</v>
      </c>
      <c r="F356" s="46">
        <f>SUM(F357+F360+F362)</f>
        <v>8746.2999999999993</v>
      </c>
      <c r="G356" s="67"/>
      <c r="H356" s="71"/>
      <c r="I356" s="71"/>
      <c r="J356" s="71"/>
      <c r="K356" s="1"/>
      <c r="L356" s="2"/>
      <c r="N356" s="18"/>
      <c r="O356" s="21"/>
    </row>
    <row r="357" spans="1:15" ht="41.25" customHeight="1">
      <c r="A357" s="43">
        <v>320</v>
      </c>
      <c r="B357" s="33">
        <v>703</v>
      </c>
      <c r="C357" s="34" t="s">
        <v>293</v>
      </c>
      <c r="D357" s="34"/>
      <c r="E357" s="35" t="s">
        <v>224</v>
      </c>
      <c r="F357" s="46">
        <f>F358</f>
        <v>8434.6</v>
      </c>
      <c r="G357" s="67"/>
      <c r="H357" s="71"/>
      <c r="I357" s="71"/>
      <c r="J357" s="71"/>
    </row>
    <row r="358" spans="1:15" ht="37.5" customHeight="1">
      <c r="A358" s="43">
        <v>321</v>
      </c>
      <c r="B358" s="33">
        <v>703</v>
      </c>
      <c r="C358" s="34" t="s">
        <v>230</v>
      </c>
      <c r="D358" s="34"/>
      <c r="E358" s="35" t="s">
        <v>378</v>
      </c>
      <c r="F358" s="46">
        <f>SUM(F359:F359)</f>
        <v>8434.6</v>
      </c>
      <c r="G358" s="67"/>
      <c r="H358" s="71"/>
      <c r="I358" s="71"/>
      <c r="J358" s="71"/>
    </row>
    <row r="359" spans="1:15" ht="22.5" customHeight="1">
      <c r="A359" s="43">
        <v>322</v>
      </c>
      <c r="B359" s="36">
        <v>703</v>
      </c>
      <c r="C359" s="37" t="s">
        <v>230</v>
      </c>
      <c r="D359" s="37" t="s">
        <v>248</v>
      </c>
      <c r="E359" s="38" t="s">
        <v>249</v>
      </c>
      <c r="F359" s="47">
        <f>9000-205.1-38-65.9-256.4</f>
        <v>8434.6</v>
      </c>
      <c r="G359" s="67"/>
      <c r="H359" s="71"/>
      <c r="I359" s="71"/>
      <c r="J359" s="71"/>
    </row>
    <row r="360" spans="1:15" ht="81.75" customHeight="1">
      <c r="A360" s="43">
        <v>323</v>
      </c>
      <c r="B360" s="33">
        <v>703</v>
      </c>
      <c r="C360" s="34" t="s">
        <v>476</v>
      </c>
      <c r="D360" s="37"/>
      <c r="E360" s="35" t="s">
        <v>465</v>
      </c>
      <c r="F360" s="46">
        <f>SUM(F361:F361)</f>
        <v>65.900000000000006</v>
      </c>
      <c r="G360" s="67"/>
      <c r="H360" s="71"/>
      <c r="I360" s="71"/>
      <c r="J360" s="71"/>
    </row>
    <row r="361" spans="1:15" ht="27.75" customHeight="1">
      <c r="A361" s="43" t="s">
        <v>533</v>
      </c>
      <c r="B361" s="36">
        <v>703</v>
      </c>
      <c r="C361" s="37" t="s">
        <v>476</v>
      </c>
      <c r="D361" s="37" t="s">
        <v>248</v>
      </c>
      <c r="E361" s="38" t="s">
        <v>249</v>
      </c>
      <c r="F361" s="47">
        <f>65.9</f>
        <v>65.900000000000006</v>
      </c>
      <c r="G361" s="67"/>
      <c r="H361" s="71"/>
      <c r="I361" s="71"/>
      <c r="J361" s="71"/>
    </row>
    <row r="362" spans="1:15" ht="66.75" customHeight="1">
      <c r="A362" s="43">
        <v>324</v>
      </c>
      <c r="B362" s="36">
        <v>703</v>
      </c>
      <c r="C362" s="37" t="s">
        <v>532</v>
      </c>
      <c r="D362" s="37"/>
      <c r="E362" s="64" t="s">
        <v>531</v>
      </c>
      <c r="F362" s="46">
        <f>SUM(F363:F363)</f>
        <v>245.8</v>
      </c>
      <c r="G362" s="67"/>
      <c r="H362" s="71"/>
      <c r="I362" s="71"/>
      <c r="J362" s="71"/>
    </row>
    <row r="363" spans="1:15" ht="27.75" customHeight="1">
      <c r="A363" s="43" t="s">
        <v>534</v>
      </c>
      <c r="B363" s="36">
        <v>703</v>
      </c>
      <c r="C363" s="37" t="s">
        <v>532</v>
      </c>
      <c r="D363" s="37" t="s">
        <v>248</v>
      </c>
      <c r="E363" s="38" t="s">
        <v>249</v>
      </c>
      <c r="F363" s="47">
        <v>245.8</v>
      </c>
      <c r="G363" s="67"/>
      <c r="H363" s="71"/>
      <c r="I363" s="71"/>
      <c r="J363" s="71"/>
    </row>
    <row r="364" spans="1:15" ht="20.25" customHeight="1">
      <c r="A364" s="43">
        <v>325</v>
      </c>
      <c r="B364" s="33">
        <v>707</v>
      </c>
      <c r="C364" s="34"/>
      <c r="D364" s="34"/>
      <c r="E364" s="35" t="s">
        <v>203</v>
      </c>
      <c r="F364" s="46">
        <f>SUM(F365+F368+F373)</f>
        <v>88.6</v>
      </c>
      <c r="G364" s="67"/>
      <c r="H364" s="71"/>
      <c r="I364" s="71"/>
      <c r="J364" s="71"/>
    </row>
    <row r="365" spans="1:15" ht="39.75" customHeight="1">
      <c r="A365" s="43">
        <v>326</v>
      </c>
      <c r="B365" s="33">
        <v>707</v>
      </c>
      <c r="C365" s="34" t="s">
        <v>119</v>
      </c>
      <c r="D365" s="34"/>
      <c r="E365" s="35" t="s">
        <v>363</v>
      </c>
      <c r="F365" s="46">
        <f>SUM(F366)</f>
        <v>45</v>
      </c>
      <c r="G365" s="67"/>
      <c r="H365" s="71"/>
      <c r="I365" s="71"/>
      <c r="J365" s="71"/>
    </row>
    <row r="366" spans="1:15" s="4" customFormat="1" ht="112.5" customHeight="1">
      <c r="A366" s="43">
        <v>327</v>
      </c>
      <c r="B366" s="33">
        <v>707</v>
      </c>
      <c r="C366" s="34" t="s">
        <v>135</v>
      </c>
      <c r="D366" s="37"/>
      <c r="E366" s="42" t="s">
        <v>479</v>
      </c>
      <c r="F366" s="46">
        <f>SUM(F367)</f>
        <v>45</v>
      </c>
      <c r="G366" s="74"/>
      <c r="H366" s="75"/>
      <c r="I366" s="75"/>
      <c r="J366" s="75"/>
    </row>
    <row r="367" spans="1:15" s="4" customFormat="1" ht="27.75" customHeight="1">
      <c r="A367" s="43">
        <v>328</v>
      </c>
      <c r="B367" s="36">
        <v>707</v>
      </c>
      <c r="C367" s="37" t="s">
        <v>135</v>
      </c>
      <c r="D367" s="37" t="s">
        <v>248</v>
      </c>
      <c r="E367" s="38" t="s">
        <v>249</v>
      </c>
      <c r="F367" s="47">
        <f>50-5</f>
        <v>45</v>
      </c>
      <c r="G367" s="74"/>
      <c r="H367" s="75"/>
      <c r="I367" s="75"/>
      <c r="J367" s="75"/>
    </row>
    <row r="368" spans="1:15" s="4" customFormat="1" ht="52.5" customHeight="1">
      <c r="A368" s="43">
        <v>329</v>
      </c>
      <c r="B368" s="33">
        <v>707</v>
      </c>
      <c r="C368" s="34" t="s">
        <v>201</v>
      </c>
      <c r="D368" s="34"/>
      <c r="E368" s="35" t="s">
        <v>364</v>
      </c>
      <c r="F368" s="46">
        <f>SUM(F369+F371)</f>
        <v>41.1</v>
      </c>
      <c r="G368" s="74"/>
      <c r="H368" s="75"/>
      <c r="I368" s="75"/>
      <c r="J368" s="75"/>
    </row>
    <row r="369" spans="1:10" s="4" customFormat="1" ht="42" customHeight="1">
      <c r="A369" s="43">
        <v>330</v>
      </c>
      <c r="B369" s="33">
        <v>707</v>
      </c>
      <c r="C369" s="34" t="s">
        <v>181</v>
      </c>
      <c r="D369" s="34"/>
      <c r="E369" s="35" t="s">
        <v>182</v>
      </c>
      <c r="F369" s="46">
        <f>SUM(F370)</f>
        <v>19.3</v>
      </c>
      <c r="G369" s="74"/>
      <c r="H369" s="75"/>
      <c r="I369" s="75"/>
      <c r="J369" s="75"/>
    </row>
    <row r="370" spans="1:10" s="4" customFormat="1" ht="31.5" customHeight="1">
      <c r="A370" s="43">
        <v>331</v>
      </c>
      <c r="B370" s="36">
        <v>707</v>
      </c>
      <c r="C370" s="37" t="s">
        <v>181</v>
      </c>
      <c r="D370" s="37" t="s">
        <v>56</v>
      </c>
      <c r="E370" s="38" t="s">
        <v>162</v>
      </c>
      <c r="F370" s="46">
        <f>2.5+16.8</f>
        <v>19.3</v>
      </c>
      <c r="G370" s="74"/>
      <c r="H370" s="75"/>
      <c r="I370" s="75"/>
      <c r="J370" s="75"/>
    </row>
    <row r="371" spans="1:10" s="4" customFormat="1" ht="42.75" customHeight="1">
      <c r="A371" s="43">
        <v>332</v>
      </c>
      <c r="B371" s="33">
        <v>707</v>
      </c>
      <c r="C371" s="34" t="s">
        <v>183</v>
      </c>
      <c r="D371" s="34"/>
      <c r="E371" s="35" t="s">
        <v>184</v>
      </c>
      <c r="F371" s="46">
        <f>SUM(F372)</f>
        <v>21.8</v>
      </c>
      <c r="G371" s="74"/>
      <c r="H371" s="75"/>
      <c r="I371" s="75"/>
      <c r="J371" s="75"/>
    </row>
    <row r="372" spans="1:10" s="4" customFormat="1" ht="35.25" customHeight="1">
      <c r="A372" s="43">
        <v>333</v>
      </c>
      <c r="B372" s="36">
        <v>707</v>
      </c>
      <c r="C372" s="37" t="s">
        <v>183</v>
      </c>
      <c r="D372" s="37" t="s">
        <v>56</v>
      </c>
      <c r="E372" s="38" t="s">
        <v>162</v>
      </c>
      <c r="F372" s="47">
        <f>2.5+19.3</f>
        <v>21.8</v>
      </c>
      <c r="G372" s="74"/>
      <c r="H372" s="75"/>
      <c r="I372" s="75"/>
      <c r="J372" s="75"/>
    </row>
    <row r="373" spans="1:10" s="4" customFormat="1" ht="43.5" customHeight="1">
      <c r="A373" s="43">
        <v>334</v>
      </c>
      <c r="B373" s="33">
        <v>707</v>
      </c>
      <c r="C373" s="34" t="s">
        <v>272</v>
      </c>
      <c r="D373" s="34"/>
      <c r="E373" s="35" t="s">
        <v>365</v>
      </c>
      <c r="F373" s="46">
        <f>SUM(F374)</f>
        <v>2.5</v>
      </c>
      <c r="G373" s="74"/>
      <c r="H373" s="75"/>
      <c r="I373" s="75"/>
      <c r="J373" s="75"/>
    </row>
    <row r="374" spans="1:10" s="4" customFormat="1" ht="42.75" customHeight="1">
      <c r="A374" s="43">
        <v>335</v>
      </c>
      <c r="B374" s="33">
        <v>707</v>
      </c>
      <c r="C374" s="34" t="s">
        <v>267</v>
      </c>
      <c r="D374" s="34"/>
      <c r="E374" s="35" t="s">
        <v>273</v>
      </c>
      <c r="F374" s="46">
        <f>SUM(F375)</f>
        <v>2.5</v>
      </c>
      <c r="G374" s="74"/>
      <c r="H374" s="75"/>
      <c r="I374" s="75"/>
      <c r="J374" s="75"/>
    </row>
    <row r="375" spans="1:10" s="4" customFormat="1" ht="53.25" customHeight="1">
      <c r="A375" s="43">
        <v>336</v>
      </c>
      <c r="B375" s="36">
        <v>707</v>
      </c>
      <c r="C375" s="37" t="s">
        <v>267</v>
      </c>
      <c r="D375" s="37" t="s">
        <v>56</v>
      </c>
      <c r="E375" s="38" t="s">
        <v>162</v>
      </c>
      <c r="F375" s="47">
        <v>2.5</v>
      </c>
      <c r="G375" s="74"/>
      <c r="H375" s="75"/>
      <c r="I375" s="75"/>
      <c r="J375" s="75"/>
    </row>
    <row r="376" spans="1:10" s="4" customFormat="1" ht="18.75" customHeight="1">
      <c r="A376" s="43">
        <v>337</v>
      </c>
      <c r="B376" s="33">
        <v>709</v>
      </c>
      <c r="C376" s="34"/>
      <c r="D376" s="34"/>
      <c r="E376" s="35" t="s">
        <v>250</v>
      </c>
      <c r="F376" s="46">
        <f>SUM(F377+F381+F403+F408+F413+F416)</f>
        <v>6197.4</v>
      </c>
      <c r="G376" s="74"/>
      <c r="H376" s="75"/>
      <c r="I376" s="75"/>
      <c r="J376" s="75"/>
    </row>
    <row r="377" spans="1:10" s="4" customFormat="1" ht="52.5" customHeight="1">
      <c r="A377" s="43">
        <v>338</v>
      </c>
      <c r="B377" s="33">
        <v>709</v>
      </c>
      <c r="C377" s="34" t="s">
        <v>242</v>
      </c>
      <c r="D377" s="34"/>
      <c r="E377" s="35" t="s">
        <v>366</v>
      </c>
      <c r="F377" s="46">
        <f>SUM(F378)</f>
        <v>2.5</v>
      </c>
      <c r="G377" s="74"/>
      <c r="H377" s="75"/>
      <c r="I377" s="75"/>
      <c r="J377" s="75"/>
    </row>
    <row r="378" spans="1:10" s="4" customFormat="1" ht="57.75" customHeight="1">
      <c r="A378" s="43">
        <v>339</v>
      </c>
      <c r="B378" s="33">
        <v>709</v>
      </c>
      <c r="C378" s="34" t="s">
        <v>243</v>
      </c>
      <c r="D378" s="34"/>
      <c r="E378" s="42" t="s">
        <v>209</v>
      </c>
      <c r="F378" s="46">
        <f>SUM(F379)</f>
        <v>2.5</v>
      </c>
      <c r="G378" s="74"/>
      <c r="H378" s="75"/>
      <c r="I378" s="75"/>
      <c r="J378" s="75"/>
    </row>
    <row r="379" spans="1:10" s="4" customFormat="1" ht="44.25" customHeight="1">
      <c r="A379" s="43">
        <v>340</v>
      </c>
      <c r="B379" s="33">
        <v>709</v>
      </c>
      <c r="C379" s="34" t="s">
        <v>245</v>
      </c>
      <c r="D379" s="34"/>
      <c r="E379" s="62" t="s">
        <v>244</v>
      </c>
      <c r="F379" s="46">
        <f>SUM(F380)</f>
        <v>2.5</v>
      </c>
      <c r="G379" s="74"/>
      <c r="H379" s="75"/>
      <c r="I379" s="75"/>
      <c r="J379" s="75"/>
    </row>
    <row r="380" spans="1:10" s="4" customFormat="1" ht="31.5" customHeight="1">
      <c r="A380" s="43">
        <v>341</v>
      </c>
      <c r="B380" s="36">
        <v>709</v>
      </c>
      <c r="C380" s="37" t="s">
        <v>245</v>
      </c>
      <c r="D380" s="37" t="s">
        <v>56</v>
      </c>
      <c r="E380" s="38" t="s">
        <v>162</v>
      </c>
      <c r="F380" s="47">
        <v>2.5</v>
      </c>
      <c r="G380" s="74"/>
      <c r="H380" s="75"/>
      <c r="I380" s="75"/>
      <c r="J380" s="76"/>
    </row>
    <row r="381" spans="1:10" s="4" customFormat="1" ht="48" customHeight="1">
      <c r="A381" s="43">
        <v>342</v>
      </c>
      <c r="B381" s="33">
        <v>709</v>
      </c>
      <c r="C381" s="34" t="s">
        <v>132</v>
      </c>
      <c r="D381" s="34"/>
      <c r="E381" s="35" t="s">
        <v>276</v>
      </c>
      <c r="F381" s="46">
        <f>SUM(F382+F393+F400)</f>
        <v>6061.3</v>
      </c>
      <c r="G381" s="74"/>
      <c r="H381" s="75"/>
      <c r="I381" s="75"/>
      <c r="J381" s="75"/>
    </row>
    <row r="382" spans="1:10" s="4" customFormat="1" ht="34.5" customHeight="1">
      <c r="A382" s="43">
        <v>343</v>
      </c>
      <c r="B382" s="33">
        <v>709</v>
      </c>
      <c r="C382" s="34" t="s">
        <v>379</v>
      </c>
      <c r="D382" s="34"/>
      <c r="E382" s="42" t="s">
        <v>197</v>
      </c>
      <c r="F382" s="46">
        <f>SUM(F383+F386+F389+F395+F397)</f>
        <v>4971</v>
      </c>
      <c r="G382" s="74"/>
      <c r="H382" s="75"/>
      <c r="I382" s="75"/>
      <c r="J382" s="75"/>
    </row>
    <row r="383" spans="1:10" s="4" customFormat="1" ht="95.25" customHeight="1">
      <c r="A383" s="43">
        <v>344</v>
      </c>
      <c r="B383" s="33">
        <v>709</v>
      </c>
      <c r="C383" s="34" t="s">
        <v>231</v>
      </c>
      <c r="D383" s="37"/>
      <c r="E383" s="65" t="s">
        <v>316</v>
      </c>
      <c r="F383" s="46">
        <f>SUM(F384:F385)</f>
        <v>211.4</v>
      </c>
      <c r="G383" s="74"/>
      <c r="H383" s="75"/>
      <c r="I383" s="75"/>
      <c r="J383" s="75"/>
    </row>
    <row r="384" spans="1:10" s="4" customFormat="1" ht="46.5" customHeight="1">
      <c r="A384" s="43">
        <v>345</v>
      </c>
      <c r="B384" s="36">
        <v>709</v>
      </c>
      <c r="C384" s="37" t="s">
        <v>231</v>
      </c>
      <c r="D384" s="37" t="s">
        <v>56</v>
      </c>
      <c r="E384" s="38" t="s">
        <v>162</v>
      </c>
      <c r="F384" s="47">
        <f>12-0.04</f>
        <v>11.96</v>
      </c>
      <c r="G384" s="74"/>
      <c r="H384" s="75"/>
      <c r="I384" s="75"/>
      <c r="J384" s="75"/>
    </row>
    <row r="385" spans="1:10" s="4" customFormat="1" ht="27" customHeight="1">
      <c r="A385" s="43">
        <v>346</v>
      </c>
      <c r="B385" s="36">
        <v>709</v>
      </c>
      <c r="C385" s="37" t="s">
        <v>231</v>
      </c>
      <c r="D385" s="37" t="s">
        <v>248</v>
      </c>
      <c r="E385" s="38" t="s">
        <v>249</v>
      </c>
      <c r="F385" s="47">
        <f>199.4+0.04</f>
        <v>199.44</v>
      </c>
      <c r="G385" s="74"/>
      <c r="H385" s="75"/>
      <c r="I385" s="75"/>
      <c r="J385" s="75"/>
    </row>
    <row r="386" spans="1:10" s="4" customFormat="1" ht="38.25" customHeight="1">
      <c r="A386" s="43">
        <v>347</v>
      </c>
      <c r="B386" s="33">
        <v>709</v>
      </c>
      <c r="C386" s="34" t="s">
        <v>380</v>
      </c>
      <c r="D386" s="37"/>
      <c r="E386" s="35" t="s">
        <v>381</v>
      </c>
      <c r="F386" s="46">
        <f>SUM(F387:F388)</f>
        <v>1720.3000000000002</v>
      </c>
      <c r="G386" s="74"/>
      <c r="H386" s="75"/>
      <c r="I386" s="75"/>
      <c r="J386" s="75"/>
    </row>
    <row r="387" spans="1:10" s="4" customFormat="1" ht="35.25" customHeight="1">
      <c r="A387" s="43">
        <v>348</v>
      </c>
      <c r="B387" s="36">
        <v>709</v>
      </c>
      <c r="C387" s="37" t="s">
        <v>380</v>
      </c>
      <c r="D387" s="37" t="s">
        <v>56</v>
      </c>
      <c r="E387" s="38" t="s">
        <v>162</v>
      </c>
      <c r="F387" s="47">
        <v>891.7</v>
      </c>
      <c r="G387" s="74"/>
      <c r="H387" s="75"/>
      <c r="I387" s="75"/>
      <c r="J387" s="75"/>
    </row>
    <row r="388" spans="1:10" s="4" customFormat="1" ht="28.5" customHeight="1">
      <c r="A388" s="43">
        <v>349</v>
      </c>
      <c r="B388" s="36">
        <v>709</v>
      </c>
      <c r="C388" s="37" t="s">
        <v>380</v>
      </c>
      <c r="D388" s="37" t="s">
        <v>248</v>
      </c>
      <c r="E388" s="38" t="s">
        <v>249</v>
      </c>
      <c r="F388" s="47">
        <f>828.6-45+45</f>
        <v>828.6</v>
      </c>
      <c r="G388" s="74"/>
      <c r="H388" s="75"/>
      <c r="I388" s="75"/>
      <c r="J388" s="75"/>
    </row>
    <row r="389" spans="1:10" s="4" customFormat="1" ht="57" customHeight="1">
      <c r="A389" s="43">
        <v>350</v>
      </c>
      <c r="B389" s="33">
        <v>709</v>
      </c>
      <c r="C389" s="34" t="s">
        <v>278</v>
      </c>
      <c r="D389" s="37"/>
      <c r="E389" s="35" t="s">
        <v>405</v>
      </c>
      <c r="F389" s="46">
        <f>SUM(F390:F392)</f>
        <v>2528.9</v>
      </c>
      <c r="G389" s="74"/>
      <c r="H389" s="75"/>
      <c r="I389" s="75"/>
      <c r="J389" s="75"/>
    </row>
    <row r="390" spans="1:10" s="4" customFormat="1" ht="31.5" customHeight="1">
      <c r="A390" s="43">
        <v>351</v>
      </c>
      <c r="B390" s="36">
        <v>709</v>
      </c>
      <c r="C390" s="37" t="s">
        <v>278</v>
      </c>
      <c r="D390" s="37" t="s">
        <v>56</v>
      </c>
      <c r="E390" s="38" t="s">
        <v>162</v>
      </c>
      <c r="F390" s="47">
        <f>802.4+552.4+76.8+22</f>
        <v>1453.6</v>
      </c>
      <c r="G390" s="74"/>
      <c r="H390" s="75"/>
      <c r="I390" s="75"/>
      <c r="J390" s="75"/>
    </row>
    <row r="391" spans="1:10" s="4" customFormat="1" ht="25.5" customHeight="1">
      <c r="A391" s="43">
        <v>352</v>
      </c>
      <c r="B391" s="36">
        <v>709</v>
      </c>
      <c r="C391" s="37" t="s">
        <v>278</v>
      </c>
      <c r="D391" s="37" t="s">
        <v>248</v>
      </c>
      <c r="E391" s="38" t="s">
        <v>249</v>
      </c>
      <c r="F391" s="47">
        <f>916+95</f>
        <v>1011</v>
      </c>
      <c r="G391" s="74"/>
      <c r="H391" s="75"/>
      <c r="I391" s="75"/>
      <c r="J391" s="75"/>
    </row>
    <row r="392" spans="1:10" s="4" customFormat="1" ht="23.25" customHeight="1">
      <c r="A392" s="43">
        <v>353</v>
      </c>
      <c r="B392" s="36">
        <v>709</v>
      </c>
      <c r="C392" s="37" t="s">
        <v>278</v>
      </c>
      <c r="D392" s="37" t="s">
        <v>430</v>
      </c>
      <c r="E392" s="38" t="s">
        <v>429</v>
      </c>
      <c r="F392" s="47">
        <v>64.3</v>
      </c>
      <c r="G392" s="74"/>
      <c r="H392" s="75"/>
      <c r="I392" s="75"/>
      <c r="J392" s="75"/>
    </row>
    <row r="393" spans="1:10" s="4" customFormat="1" ht="51" customHeight="1">
      <c r="A393" s="43">
        <v>354</v>
      </c>
      <c r="B393" s="33">
        <v>709</v>
      </c>
      <c r="C393" s="34" t="s">
        <v>412</v>
      </c>
      <c r="D393" s="34"/>
      <c r="E393" s="35" t="s">
        <v>439</v>
      </c>
      <c r="F393" s="46">
        <f>SUM(F394)</f>
        <v>1030.3</v>
      </c>
      <c r="G393" s="74"/>
      <c r="H393" s="75"/>
      <c r="I393" s="75"/>
      <c r="J393" s="75"/>
    </row>
    <row r="394" spans="1:10" s="4" customFormat="1" ht="20.25" customHeight="1">
      <c r="A394" s="43">
        <v>355</v>
      </c>
      <c r="B394" s="36">
        <v>709</v>
      </c>
      <c r="C394" s="37" t="s">
        <v>412</v>
      </c>
      <c r="D394" s="37" t="s">
        <v>248</v>
      </c>
      <c r="E394" s="38" t="s">
        <v>249</v>
      </c>
      <c r="F394" s="47">
        <v>1030.3</v>
      </c>
      <c r="G394" s="74"/>
      <c r="H394" s="75"/>
      <c r="I394" s="75"/>
      <c r="J394" s="75"/>
    </row>
    <row r="395" spans="1:10" s="4" customFormat="1" ht="51" customHeight="1">
      <c r="A395" s="43">
        <v>356</v>
      </c>
      <c r="B395" s="33">
        <v>709</v>
      </c>
      <c r="C395" s="34" t="s">
        <v>416</v>
      </c>
      <c r="D395" s="37"/>
      <c r="E395" s="35" t="s">
        <v>415</v>
      </c>
      <c r="F395" s="46">
        <f>SUM(F396)</f>
        <v>394</v>
      </c>
      <c r="G395" s="74"/>
      <c r="H395" s="75"/>
      <c r="I395" s="75"/>
      <c r="J395" s="75"/>
    </row>
    <row r="396" spans="1:10" s="4" customFormat="1" ht="26.25" customHeight="1">
      <c r="A396" s="43">
        <v>357</v>
      </c>
      <c r="B396" s="36">
        <v>709</v>
      </c>
      <c r="C396" s="37" t="s">
        <v>416</v>
      </c>
      <c r="D396" s="37" t="s">
        <v>56</v>
      </c>
      <c r="E396" s="38" t="s">
        <v>162</v>
      </c>
      <c r="F396" s="47">
        <v>394</v>
      </c>
      <c r="G396" s="74"/>
      <c r="H396" s="75"/>
      <c r="I396" s="75"/>
      <c r="J396" s="75"/>
    </row>
    <row r="397" spans="1:10" s="4" customFormat="1" ht="110.25" customHeight="1">
      <c r="A397" s="43">
        <v>358</v>
      </c>
      <c r="B397" s="36">
        <v>709</v>
      </c>
      <c r="C397" s="37" t="s">
        <v>417</v>
      </c>
      <c r="D397" s="37"/>
      <c r="E397" s="35" t="s">
        <v>418</v>
      </c>
      <c r="F397" s="46">
        <f>SUM(F398+F399)</f>
        <v>116.40000000000003</v>
      </c>
      <c r="G397" s="74"/>
      <c r="H397" s="75"/>
      <c r="I397" s="75"/>
      <c r="J397" s="75"/>
    </row>
    <row r="398" spans="1:10" s="4" customFormat="1" ht="33.75" customHeight="1">
      <c r="A398" s="43">
        <v>359</v>
      </c>
      <c r="B398" s="36">
        <v>709</v>
      </c>
      <c r="C398" s="37" t="s">
        <v>417</v>
      </c>
      <c r="D398" s="37" t="s">
        <v>56</v>
      </c>
      <c r="E398" s="38" t="s">
        <v>162</v>
      </c>
      <c r="F398" s="47">
        <f>380.8-380.8</f>
        <v>0</v>
      </c>
      <c r="G398" s="74"/>
      <c r="H398" s="75"/>
      <c r="I398" s="75"/>
      <c r="J398" s="75"/>
    </row>
    <row r="399" spans="1:10" s="4" customFormat="1" ht="33.75" customHeight="1">
      <c r="A399" s="43">
        <v>360</v>
      </c>
      <c r="B399" s="36">
        <v>709</v>
      </c>
      <c r="C399" s="37" t="s">
        <v>417</v>
      </c>
      <c r="D399" s="37" t="s">
        <v>43</v>
      </c>
      <c r="E399" s="38" t="s">
        <v>44</v>
      </c>
      <c r="F399" s="90">
        <f>380.8-264.4</f>
        <v>116.40000000000003</v>
      </c>
      <c r="G399" s="74"/>
      <c r="H399" s="75"/>
      <c r="I399" s="75"/>
      <c r="J399" s="75"/>
    </row>
    <row r="400" spans="1:10" s="4" customFormat="1" ht="39.75" customHeight="1">
      <c r="A400" s="43">
        <v>361</v>
      </c>
      <c r="B400" s="33">
        <v>709</v>
      </c>
      <c r="C400" s="34" t="s">
        <v>266</v>
      </c>
      <c r="D400" s="34"/>
      <c r="E400" s="35" t="s">
        <v>268</v>
      </c>
      <c r="F400" s="46">
        <f>SUM(F401+F402)</f>
        <v>60</v>
      </c>
      <c r="G400" s="74"/>
      <c r="H400" s="75"/>
      <c r="I400" s="75"/>
      <c r="J400" s="75"/>
    </row>
    <row r="401" spans="1:10" s="4" customFormat="1" ht="23.25" customHeight="1">
      <c r="A401" s="43">
        <v>362</v>
      </c>
      <c r="B401" s="36">
        <v>709</v>
      </c>
      <c r="C401" s="37" t="s">
        <v>266</v>
      </c>
      <c r="D401" s="37" t="s">
        <v>269</v>
      </c>
      <c r="E401" s="38" t="s">
        <v>270</v>
      </c>
      <c r="F401" s="47">
        <f>60-60</f>
        <v>0</v>
      </c>
      <c r="G401" s="74"/>
      <c r="H401" s="75"/>
      <c r="I401" s="75"/>
      <c r="J401" s="75"/>
    </row>
    <row r="402" spans="1:10" s="4" customFormat="1" ht="23.25" customHeight="1">
      <c r="A402" s="43" t="s">
        <v>512</v>
      </c>
      <c r="B402" s="36">
        <v>709</v>
      </c>
      <c r="C402" s="37" t="s">
        <v>266</v>
      </c>
      <c r="D402" s="37" t="s">
        <v>511</v>
      </c>
      <c r="E402" s="38" t="s">
        <v>270</v>
      </c>
      <c r="F402" s="47">
        <v>60</v>
      </c>
      <c r="G402" s="74"/>
      <c r="H402" s="75"/>
      <c r="I402" s="75"/>
      <c r="J402" s="75"/>
    </row>
    <row r="403" spans="1:10" s="4" customFormat="1" ht="30" customHeight="1">
      <c r="A403" s="43">
        <v>363</v>
      </c>
      <c r="B403" s="33">
        <v>709</v>
      </c>
      <c r="C403" s="34" t="s">
        <v>167</v>
      </c>
      <c r="D403" s="34"/>
      <c r="E403" s="35" t="s">
        <v>367</v>
      </c>
      <c r="F403" s="46">
        <f>SUM(F404+F406)</f>
        <v>0</v>
      </c>
      <c r="G403" s="74"/>
      <c r="H403" s="75"/>
      <c r="I403" s="75"/>
      <c r="J403" s="75"/>
    </row>
    <row r="404" spans="1:10" s="4" customFormat="1" ht="61.5" customHeight="1">
      <c r="A404" s="43">
        <v>364</v>
      </c>
      <c r="B404" s="33">
        <v>709</v>
      </c>
      <c r="C404" s="34" t="s">
        <v>170</v>
      </c>
      <c r="D404" s="34"/>
      <c r="E404" s="42" t="s">
        <v>480</v>
      </c>
      <c r="F404" s="46">
        <f>SUM(F405)</f>
        <v>0</v>
      </c>
      <c r="G404" s="74"/>
      <c r="H404" s="75"/>
      <c r="I404" s="75"/>
      <c r="J404" s="75"/>
    </row>
    <row r="405" spans="1:10" s="4" customFormat="1" ht="36" customHeight="1">
      <c r="A405" s="43">
        <v>365</v>
      </c>
      <c r="B405" s="36">
        <v>709</v>
      </c>
      <c r="C405" s="37" t="s">
        <v>170</v>
      </c>
      <c r="D405" s="37" t="s">
        <v>56</v>
      </c>
      <c r="E405" s="38" t="s">
        <v>162</v>
      </c>
      <c r="F405" s="47">
        <f>1.5-1.5</f>
        <v>0</v>
      </c>
      <c r="G405" s="74"/>
      <c r="H405" s="75"/>
      <c r="I405" s="75"/>
      <c r="J405" s="75"/>
    </row>
    <row r="406" spans="1:10" s="4" customFormat="1" ht="39" customHeight="1">
      <c r="A406" s="43">
        <v>366</v>
      </c>
      <c r="B406" s="33">
        <v>709</v>
      </c>
      <c r="C406" s="34" t="s">
        <v>171</v>
      </c>
      <c r="D406" s="34"/>
      <c r="E406" s="42" t="s">
        <v>168</v>
      </c>
      <c r="F406" s="46">
        <f>SUM(F407)</f>
        <v>0</v>
      </c>
      <c r="G406" s="74"/>
      <c r="H406" s="75"/>
      <c r="I406" s="75"/>
      <c r="J406" s="75"/>
    </row>
    <row r="407" spans="1:10" s="4" customFormat="1" ht="27.75" customHeight="1">
      <c r="A407" s="43">
        <v>367</v>
      </c>
      <c r="B407" s="36">
        <v>709</v>
      </c>
      <c r="C407" s="37" t="s">
        <v>171</v>
      </c>
      <c r="D407" s="37" t="s">
        <v>56</v>
      </c>
      <c r="E407" s="38" t="s">
        <v>162</v>
      </c>
      <c r="F407" s="47">
        <f>1-1</f>
        <v>0</v>
      </c>
      <c r="G407" s="74"/>
      <c r="H407" s="75"/>
      <c r="I407" s="75"/>
      <c r="J407" s="75"/>
    </row>
    <row r="408" spans="1:10" s="4" customFormat="1" ht="54" customHeight="1">
      <c r="A408" s="43">
        <v>368</v>
      </c>
      <c r="B408" s="33">
        <v>709</v>
      </c>
      <c r="C408" s="34" t="s">
        <v>172</v>
      </c>
      <c r="D408" s="34"/>
      <c r="E408" s="62" t="s">
        <v>368</v>
      </c>
      <c r="F408" s="46">
        <f>SUM(F409+F411)</f>
        <v>2.7</v>
      </c>
      <c r="G408" s="74"/>
      <c r="H408" s="75"/>
      <c r="I408" s="75"/>
      <c r="J408" s="75"/>
    </row>
    <row r="409" spans="1:10" s="4" customFormat="1" ht="31.5" customHeight="1">
      <c r="A409" s="43">
        <v>369</v>
      </c>
      <c r="B409" s="33">
        <v>709</v>
      </c>
      <c r="C409" s="34" t="s">
        <v>173</v>
      </c>
      <c r="D409" s="34"/>
      <c r="E409" s="42" t="s">
        <v>169</v>
      </c>
      <c r="F409" s="46">
        <f>SUM(F410)</f>
        <v>0</v>
      </c>
      <c r="G409" s="74"/>
      <c r="H409" s="75"/>
      <c r="I409" s="75"/>
      <c r="J409" s="75"/>
    </row>
    <row r="410" spans="1:10" s="4" customFormat="1" ht="27.75" customHeight="1">
      <c r="A410" s="43">
        <v>370</v>
      </c>
      <c r="B410" s="36">
        <v>709</v>
      </c>
      <c r="C410" s="37" t="s">
        <v>173</v>
      </c>
      <c r="D410" s="37" t="s">
        <v>56</v>
      </c>
      <c r="E410" s="38" t="s">
        <v>162</v>
      </c>
      <c r="F410" s="47">
        <f>2.3-2.3</f>
        <v>0</v>
      </c>
      <c r="G410" s="74"/>
      <c r="H410" s="75"/>
      <c r="I410" s="75"/>
      <c r="J410" s="75"/>
    </row>
    <row r="411" spans="1:10" s="4" customFormat="1" ht="60.75" customHeight="1">
      <c r="A411" s="43">
        <v>371</v>
      </c>
      <c r="B411" s="33">
        <v>709</v>
      </c>
      <c r="C411" s="34" t="s">
        <v>175</v>
      </c>
      <c r="D411" s="34"/>
      <c r="E411" s="42" t="s">
        <v>174</v>
      </c>
      <c r="F411" s="46">
        <f>F412</f>
        <v>2.7</v>
      </c>
      <c r="G411" s="74"/>
      <c r="H411" s="75"/>
      <c r="I411" s="75"/>
      <c r="J411" s="75"/>
    </row>
    <row r="412" spans="1:10" s="4" customFormat="1" ht="32.25" customHeight="1">
      <c r="A412" s="43">
        <v>372</v>
      </c>
      <c r="B412" s="36">
        <v>709</v>
      </c>
      <c r="C412" s="37" t="s">
        <v>175</v>
      </c>
      <c r="D412" s="37" t="s">
        <v>56</v>
      </c>
      <c r="E412" s="38" t="s">
        <v>162</v>
      </c>
      <c r="F412" s="47">
        <v>2.7</v>
      </c>
      <c r="G412" s="74"/>
      <c r="H412" s="75"/>
      <c r="I412" s="75"/>
      <c r="J412" s="75"/>
    </row>
    <row r="413" spans="1:10" s="4" customFormat="1" ht="43.5" customHeight="1">
      <c r="A413" s="43">
        <v>373</v>
      </c>
      <c r="B413" s="33">
        <v>709</v>
      </c>
      <c r="C413" s="34" t="s">
        <v>210</v>
      </c>
      <c r="D413" s="34"/>
      <c r="E413" s="62" t="s">
        <v>369</v>
      </c>
      <c r="F413" s="46">
        <f>SUM(F414)</f>
        <v>0</v>
      </c>
      <c r="G413" s="74"/>
      <c r="H413" s="75"/>
      <c r="I413" s="75"/>
      <c r="J413" s="75"/>
    </row>
    <row r="414" spans="1:10" s="4" customFormat="1" ht="56.25" customHeight="1">
      <c r="A414" s="43">
        <v>374</v>
      </c>
      <c r="B414" s="33">
        <v>709</v>
      </c>
      <c r="C414" s="34" t="s">
        <v>309</v>
      </c>
      <c r="D414" s="34"/>
      <c r="E414" s="66" t="s">
        <v>308</v>
      </c>
      <c r="F414" s="46">
        <f>SUM(F415)</f>
        <v>0</v>
      </c>
      <c r="G414" s="74"/>
      <c r="H414" s="75"/>
      <c r="I414" s="75"/>
      <c r="J414" s="75"/>
    </row>
    <row r="415" spans="1:10" s="4" customFormat="1" ht="32.25" customHeight="1">
      <c r="A415" s="43">
        <v>375</v>
      </c>
      <c r="B415" s="36">
        <v>709</v>
      </c>
      <c r="C415" s="37" t="s">
        <v>309</v>
      </c>
      <c r="D415" s="37" t="s">
        <v>56</v>
      </c>
      <c r="E415" s="38" t="s">
        <v>162</v>
      </c>
      <c r="F415" s="47">
        <f>5-5</f>
        <v>0</v>
      </c>
      <c r="G415" s="74"/>
      <c r="H415" s="75"/>
      <c r="I415" s="75"/>
      <c r="J415" s="75"/>
    </row>
    <row r="416" spans="1:10" s="4" customFormat="1" ht="17.25" customHeight="1">
      <c r="A416" s="43">
        <v>376</v>
      </c>
      <c r="B416" s="33">
        <v>709</v>
      </c>
      <c r="C416" s="34" t="s">
        <v>96</v>
      </c>
      <c r="D416" s="34"/>
      <c r="E416" s="35" t="s">
        <v>53</v>
      </c>
      <c r="F416" s="46">
        <f>SUM(F417)</f>
        <v>130.9</v>
      </c>
      <c r="G416" s="74"/>
      <c r="H416" s="75"/>
      <c r="I416" s="75"/>
      <c r="J416" s="75"/>
    </row>
    <row r="417" spans="1:10" s="4" customFormat="1" ht="27.75" customHeight="1">
      <c r="A417" s="43">
        <v>377</v>
      </c>
      <c r="B417" s="33">
        <v>709</v>
      </c>
      <c r="C417" s="34" t="s">
        <v>433</v>
      </c>
      <c r="D417" s="37"/>
      <c r="E417" s="35" t="s">
        <v>434</v>
      </c>
      <c r="F417" s="46">
        <f>SUM(F418:F418)</f>
        <v>130.9</v>
      </c>
      <c r="G417" s="74"/>
      <c r="H417" s="75"/>
      <c r="I417" s="75"/>
      <c r="J417" s="75"/>
    </row>
    <row r="418" spans="1:10" s="4" customFormat="1" ht="29.25" customHeight="1">
      <c r="A418" s="43">
        <v>378</v>
      </c>
      <c r="B418" s="36">
        <v>709</v>
      </c>
      <c r="C418" s="37" t="s">
        <v>433</v>
      </c>
      <c r="D418" s="37" t="s">
        <v>56</v>
      </c>
      <c r="E418" s="38" t="s">
        <v>162</v>
      </c>
      <c r="F418" s="47">
        <v>130.9</v>
      </c>
      <c r="G418" s="74"/>
      <c r="H418" s="75"/>
      <c r="I418" s="75"/>
      <c r="J418" s="75"/>
    </row>
    <row r="419" spans="1:10" s="4" customFormat="1" ht="21.75" customHeight="1">
      <c r="A419" s="43">
        <v>379</v>
      </c>
      <c r="B419" s="33">
        <v>800</v>
      </c>
      <c r="C419" s="34"/>
      <c r="D419" s="34"/>
      <c r="E419" s="53" t="s">
        <v>35</v>
      </c>
      <c r="F419" s="46">
        <f>F420</f>
        <v>34757.500000000007</v>
      </c>
      <c r="G419" s="74"/>
      <c r="H419" s="75"/>
      <c r="I419" s="75"/>
      <c r="J419" s="75"/>
    </row>
    <row r="420" spans="1:10" ht="16.5" customHeight="1">
      <c r="A420" s="43">
        <v>380</v>
      </c>
      <c r="B420" s="33">
        <v>801</v>
      </c>
      <c r="C420" s="34"/>
      <c r="D420" s="34"/>
      <c r="E420" s="35" t="s">
        <v>22</v>
      </c>
      <c r="F420" s="46">
        <f>SUM(F421)</f>
        <v>34757.500000000007</v>
      </c>
      <c r="G420" s="72">
        <v>21165</v>
      </c>
      <c r="H420" s="75"/>
      <c r="I420" s="71"/>
      <c r="J420" s="71"/>
    </row>
    <row r="421" spans="1:10" s="5" customFormat="1" ht="39" customHeight="1">
      <c r="A421" s="43">
        <v>381</v>
      </c>
      <c r="B421" s="33">
        <v>801</v>
      </c>
      <c r="C421" s="34" t="s">
        <v>136</v>
      </c>
      <c r="D421" s="37"/>
      <c r="E421" s="35" t="s">
        <v>370</v>
      </c>
      <c r="F421" s="46">
        <f>SUM(F422+F427+F430+F433+F435+F437+F439+F441+F443)</f>
        <v>34757.500000000007</v>
      </c>
      <c r="G421" s="67"/>
      <c r="H421" s="71"/>
      <c r="I421" s="70"/>
      <c r="J421" s="70"/>
    </row>
    <row r="422" spans="1:10" ht="30" customHeight="1">
      <c r="A422" s="43">
        <v>382</v>
      </c>
      <c r="B422" s="33">
        <v>801</v>
      </c>
      <c r="C422" s="34" t="s">
        <v>137</v>
      </c>
      <c r="D422" s="34"/>
      <c r="E422" s="35" t="s">
        <v>76</v>
      </c>
      <c r="F422" s="46">
        <f>SUM(F423:F426)</f>
        <v>16503.5</v>
      </c>
      <c r="G422" s="67" t="e">
        <f>#REF!+G424+#REF!+#REF!+#REF!</f>
        <v>#REF!</v>
      </c>
      <c r="H422" s="70"/>
      <c r="I422" s="71"/>
      <c r="J422" s="71"/>
    </row>
    <row r="423" spans="1:10" ht="18.75" customHeight="1">
      <c r="A423" s="43">
        <v>383</v>
      </c>
      <c r="B423" s="36">
        <v>801</v>
      </c>
      <c r="C423" s="37" t="s">
        <v>137</v>
      </c>
      <c r="D423" s="37" t="s">
        <v>39</v>
      </c>
      <c r="E423" s="38" t="s">
        <v>40</v>
      </c>
      <c r="F423" s="47">
        <f>13621-176.3-149.1+44.9-150-45.3</f>
        <v>13145.2</v>
      </c>
      <c r="G423" s="67"/>
      <c r="H423" s="70"/>
      <c r="I423" s="71"/>
      <c r="J423" s="71"/>
    </row>
    <row r="424" spans="1:10" ht="30.75" customHeight="1">
      <c r="A424" s="43">
        <v>384</v>
      </c>
      <c r="B424" s="36">
        <v>801</v>
      </c>
      <c r="C424" s="37" t="s">
        <v>137</v>
      </c>
      <c r="D424" s="37" t="s">
        <v>56</v>
      </c>
      <c r="E424" s="38" t="s">
        <v>162</v>
      </c>
      <c r="F424" s="47">
        <f>3792.7-15.3-400-84-100-30.9-47.1-10.6-11.5+200.7+3.3</f>
        <v>3297.2999999999997</v>
      </c>
      <c r="G424" s="67" t="e">
        <f>#REF!+#REF!</f>
        <v>#REF!</v>
      </c>
      <c r="H424" s="71"/>
      <c r="I424" s="71"/>
      <c r="J424" s="71"/>
    </row>
    <row r="425" spans="1:10" ht="24" customHeight="1">
      <c r="A425" s="43">
        <v>385</v>
      </c>
      <c r="B425" s="36">
        <v>801</v>
      </c>
      <c r="C425" s="37" t="s">
        <v>137</v>
      </c>
      <c r="D425" s="37" t="s">
        <v>394</v>
      </c>
      <c r="E425" s="38" t="s">
        <v>395</v>
      </c>
      <c r="F425" s="47">
        <v>15.3</v>
      </c>
      <c r="G425" s="67"/>
      <c r="H425" s="71"/>
      <c r="I425" s="71"/>
      <c r="J425" s="71"/>
    </row>
    <row r="426" spans="1:10" ht="21" customHeight="1">
      <c r="A426" s="43">
        <v>386</v>
      </c>
      <c r="B426" s="36">
        <v>801</v>
      </c>
      <c r="C426" s="37" t="s">
        <v>137</v>
      </c>
      <c r="D426" s="37" t="s">
        <v>159</v>
      </c>
      <c r="E426" s="38" t="s">
        <v>160</v>
      </c>
      <c r="F426" s="47">
        <f>46-0.3</f>
        <v>45.7</v>
      </c>
      <c r="G426" s="67"/>
      <c r="H426" s="71"/>
      <c r="I426" s="71"/>
      <c r="J426" s="71"/>
    </row>
    <row r="427" spans="1:10" ht="30.75" customHeight="1">
      <c r="A427" s="43">
        <v>387</v>
      </c>
      <c r="B427" s="33">
        <v>801</v>
      </c>
      <c r="C427" s="34" t="s">
        <v>138</v>
      </c>
      <c r="D427" s="34"/>
      <c r="E427" s="35" t="s">
        <v>77</v>
      </c>
      <c r="F427" s="46">
        <f>SUM(F428:F429)</f>
        <v>4254.2</v>
      </c>
      <c r="G427" s="67"/>
      <c r="H427" s="71"/>
      <c r="I427" s="71"/>
      <c r="J427" s="71"/>
    </row>
    <row r="428" spans="1:10" ht="31.5" customHeight="1">
      <c r="A428" s="43">
        <v>388</v>
      </c>
      <c r="B428" s="36">
        <v>801</v>
      </c>
      <c r="C428" s="37" t="s">
        <v>138</v>
      </c>
      <c r="D428" s="37" t="s">
        <v>39</v>
      </c>
      <c r="E428" s="38" t="s">
        <v>40</v>
      </c>
      <c r="F428" s="47">
        <f>4239.3-17.9-190-57.4-112.8-50-15-54.8-40.8</f>
        <v>3700.6</v>
      </c>
      <c r="G428" s="67"/>
      <c r="H428" s="75"/>
      <c r="I428" s="71"/>
      <c r="J428" s="76" t="s">
        <v>338</v>
      </c>
    </row>
    <row r="429" spans="1:10" ht="24.75" customHeight="1">
      <c r="A429" s="43">
        <v>389</v>
      </c>
      <c r="B429" s="36">
        <v>801</v>
      </c>
      <c r="C429" s="37" t="s">
        <v>138</v>
      </c>
      <c r="D429" s="37" t="s">
        <v>56</v>
      </c>
      <c r="E429" s="38" t="s">
        <v>162</v>
      </c>
      <c r="F429" s="47">
        <f>575.4-100+20-3.5+102.6-0.9-0.9-1.1-38</f>
        <v>553.6</v>
      </c>
      <c r="G429" s="13"/>
    </row>
    <row r="430" spans="1:10" ht="42.75" customHeight="1">
      <c r="A430" s="43">
        <v>390</v>
      </c>
      <c r="B430" s="33">
        <v>801</v>
      </c>
      <c r="C430" s="34" t="s">
        <v>139</v>
      </c>
      <c r="D430" s="37"/>
      <c r="E430" s="35" t="s">
        <v>78</v>
      </c>
      <c r="F430" s="46">
        <f>SUM(F431:F432)</f>
        <v>5260.6</v>
      </c>
      <c r="G430" s="67"/>
      <c r="H430" s="71"/>
    </row>
    <row r="431" spans="1:10" s="4" customFormat="1" ht="25.5" customHeight="1">
      <c r="A431" s="43">
        <v>391</v>
      </c>
      <c r="B431" s="36">
        <v>801</v>
      </c>
      <c r="C431" s="37" t="s">
        <v>139</v>
      </c>
      <c r="D431" s="37" t="s">
        <v>39</v>
      </c>
      <c r="E431" s="38" t="s">
        <v>60</v>
      </c>
      <c r="F431" s="47">
        <f>3368-5.6-624-150.9-41.5+190+57.4+190-101.9+101.9</f>
        <v>2983.4</v>
      </c>
      <c r="G431" s="74"/>
      <c r="H431" s="71"/>
    </row>
    <row r="432" spans="1:10" s="4" customFormat="1" ht="25.5" customHeight="1">
      <c r="A432" s="43">
        <v>392</v>
      </c>
      <c r="B432" s="36">
        <v>801</v>
      </c>
      <c r="C432" s="37" t="s">
        <v>139</v>
      </c>
      <c r="D432" s="37" t="s">
        <v>56</v>
      </c>
      <c r="E432" s="38" t="s">
        <v>162</v>
      </c>
      <c r="F432" s="47">
        <f>1217.7+227.7+555+624-20-156.4+156.4-250+250-190-58.7-32.6-45.9</f>
        <v>2277.2000000000003</v>
      </c>
      <c r="G432" s="74"/>
      <c r="H432" s="71"/>
    </row>
    <row r="433" spans="1:8" s="4" customFormat="1" ht="59.25" customHeight="1">
      <c r="A433" s="43">
        <v>393</v>
      </c>
      <c r="B433" s="36">
        <v>801</v>
      </c>
      <c r="C433" s="37" t="s">
        <v>341</v>
      </c>
      <c r="D433" s="37"/>
      <c r="E433" s="35" t="s">
        <v>339</v>
      </c>
      <c r="F433" s="46">
        <f>F434</f>
        <v>55.6</v>
      </c>
      <c r="G433" s="74"/>
      <c r="H433" s="71"/>
    </row>
    <row r="434" spans="1:8" s="4" customFormat="1" ht="25.5" customHeight="1">
      <c r="A434" s="43">
        <v>394</v>
      </c>
      <c r="B434" s="36">
        <v>801</v>
      </c>
      <c r="C434" s="37" t="s">
        <v>341</v>
      </c>
      <c r="D434" s="37" t="s">
        <v>39</v>
      </c>
      <c r="E434" s="38" t="s">
        <v>60</v>
      </c>
      <c r="F434" s="47">
        <f>50+5.6</f>
        <v>55.6</v>
      </c>
      <c r="G434" s="74"/>
      <c r="H434" s="71"/>
    </row>
    <row r="435" spans="1:8" s="4" customFormat="1" ht="42.75" customHeight="1">
      <c r="A435" s="43">
        <v>395</v>
      </c>
      <c r="B435" s="36">
        <v>801</v>
      </c>
      <c r="C435" s="37" t="s">
        <v>397</v>
      </c>
      <c r="D435" s="37"/>
      <c r="E435" s="35" t="s">
        <v>396</v>
      </c>
      <c r="F435" s="46">
        <f>F436</f>
        <v>0</v>
      </c>
      <c r="G435" s="74"/>
      <c r="H435" s="75"/>
    </row>
    <row r="436" spans="1:8" s="4" customFormat="1" ht="30" customHeight="1">
      <c r="A436" s="43">
        <v>396</v>
      </c>
      <c r="B436" s="36">
        <v>801</v>
      </c>
      <c r="C436" s="37" t="s">
        <v>397</v>
      </c>
      <c r="D436" s="37" t="s">
        <v>39</v>
      </c>
      <c r="E436" s="38" t="s">
        <v>60</v>
      </c>
      <c r="F436" s="47">
        <f>5.6-5.6</f>
        <v>0</v>
      </c>
      <c r="G436" s="74"/>
      <c r="H436" s="75"/>
    </row>
    <row r="437" spans="1:8" s="4" customFormat="1" ht="49.5" customHeight="1">
      <c r="A437" s="43">
        <v>397</v>
      </c>
      <c r="B437" s="33">
        <v>801</v>
      </c>
      <c r="C437" s="34" t="s">
        <v>140</v>
      </c>
      <c r="D437" s="37"/>
      <c r="E437" s="35" t="s">
        <v>79</v>
      </c>
      <c r="F437" s="46">
        <f>F438</f>
        <v>347</v>
      </c>
      <c r="G437" s="74"/>
      <c r="H437" s="75"/>
    </row>
    <row r="438" spans="1:8" s="4" customFormat="1" ht="30.75" customHeight="1">
      <c r="A438" s="43">
        <v>398</v>
      </c>
      <c r="B438" s="36">
        <v>801</v>
      </c>
      <c r="C438" s="37" t="s">
        <v>140</v>
      </c>
      <c r="D438" s="37" t="s">
        <v>56</v>
      </c>
      <c r="E438" s="38" t="s">
        <v>162</v>
      </c>
      <c r="F438" s="47">
        <f>297+50</f>
        <v>347</v>
      </c>
      <c r="G438" s="74"/>
      <c r="H438" s="75"/>
    </row>
    <row r="439" spans="1:8" ht="27" customHeight="1">
      <c r="A439" s="43">
        <v>399</v>
      </c>
      <c r="B439" s="33">
        <v>801</v>
      </c>
      <c r="C439" s="34" t="s">
        <v>141</v>
      </c>
      <c r="D439" s="37"/>
      <c r="E439" s="35" t="s">
        <v>80</v>
      </c>
      <c r="F439" s="46">
        <f>F440</f>
        <v>648.40000000000009</v>
      </c>
      <c r="G439" s="67" t="e">
        <f>#REF!+G440+#REF!+#REF!</f>
        <v>#REF!</v>
      </c>
      <c r="H439" s="75"/>
    </row>
    <row r="440" spans="1:8" ht="24.75" customHeight="1">
      <c r="A440" s="43">
        <v>400</v>
      </c>
      <c r="B440" s="36">
        <v>801</v>
      </c>
      <c r="C440" s="37" t="s">
        <v>141</v>
      </c>
      <c r="D440" s="37" t="s">
        <v>56</v>
      </c>
      <c r="E440" s="38" t="s">
        <v>162</v>
      </c>
      <c r="F440" s="47">
        <f>529.6-10-5-5+20+132.1+8-21.3</f>
        <v>648.40000000000009</v>
      </c>
      <c r="G440" s="67" t="e">
        <f>G443</f>
        <v>#REF!</v>
      </c>
      <c r="H440" s="71"/>
    </row>
    <row r="441" spans="1:8" ht="36" customHeight="1">
      <c r="A441" s="43">
        <v>401</v>
      </c>
      <c r="B441" s="33">
        <v>801</v>
      </c>
      <c r="C441" s="34" t="s">
        <v>185</v>
      </c>
      <c r="D441" s="34"/>
      <c r="E441" s="35" t="s">
        <v>426</v>
      </c>
      <c r="F441" s="46">
        <f>SUM(F442)</f>
        <v>7665.8999999999987</v>
      </c>
      <c r="G441" s="67"/>
      <c r="H441" s="71"/>
    </row>
    <row r="442" spans="1:8" ht="24.75" customHeight="1">
      <c r="A442" s="43">
        <v>402</v>
      </c>
      <c r="B442" s="36">
        <v>801</v>
      </c>
      <c r="C442" s="37" t="s">
        <v>185</v>
      </c>
      <c r="D442" s="37" t="s">
        <v>39</v>
      </c>
      <c r="E442" s="38" t="s">
        <v>60</v>
      </c>
      <c r="F442" s="47">
        <f>6000+349.6-3.6+579.9+174+257.9+216.2+91.9</f>
        <v>7665.8999999999987</v>
      </c>
      <c r="G442" s="67"/>
      <c r="H442" s="71"/>
    </row>
    <row r="443" spans="1:8" ht="93.75" customHeight="1">
      <c r="A443" s="43">
        <v>403</v>
      </c>
      <c r="B443" s="33">
        <v>801</v>
      </c>
      <c r="C443" s="34" t="s">
        <v>454</v>
      </c>
      <c r="D443" s="37"/>
      <c r="E443" s="35" t="s">
        <v>453</v>
      </c>
      <c r="F443" s="46">
        <f>SUM(F444)</f>
        <v>22.3</v>
      </c>
      <c r="G443" s="67" t="e">
        <f>#REF!</f>
        <v>#REF!</v>
      </c>
      <c r="H443" s="71"/>
    </row>
    <row r="444" spans="1:8" ht="24.75" customHeight="1">
      <c r="A444" s="43">
        <v>404</v>
      </c>
      <c r="B444" s="36">
        <v>801</v>
      </c>
      <c r="C444" s="37" t="s">
        <v>454</v>
      </c>
      <c r="D444" s="37" t="s">
        <v>39</v>
      </c>
      <c r="E444" s="38" t="s">
        <v>60</v>
      </c>
      <c r="F444" s="47">
        <v>22.3</v>
      </c>
      <c r="G444" s="67"/>
      <c r="H444" s="71"/>
    </row>
    <row r="445" spans="1:8" ht="14.25" customHeight="1">
      <c r="A445" s="43">
        <v>405</v>
      </c>
      <c r="B445" s="33">
        <v>1000</v>
      </c>
      <c r="C445" s="34"/>
      <c r="D445" s="34"/>
      <c r="E445" s="53" t="s">
        <v>23</v>
      </c>
      <c r="F445" s="46">
        <f>SUM(F446+F450+F477+F485)</f>
        <v>37127.198000000004</v>
      </c>
      <c r="G445" s="67"/>
      <c r="H445" s="71"/>
    </row>
    <row r="446" spans="1:8" ht="30" customHeight="1">
      <c r="A446" s="43">
        <v>406</v>
      </c>
      <c r="B446" s="33">
        <v>1001</v>
      </c>
      <c r="C446" s="34"/>
      <c r="D446" s="34"/>
      <c r="E446" s="35" t="s">
        <v>28</v>
      </c>
      <c r="F446" s="46">
        <f>SUM(F447)</f>
        <v>3896.5</v>
      </c>
      <c r="G446" s="72"/>
      <c r="H446" s="71"/>
    </row>
    <row r="447" spans="1:8" ht="42.75" customHeight="1">
      <c r="A447" s="43">
        <v>407</v>
      </c>
      <c r="B447" s="33">
        <v>1001</v>
      </c>
      <c r="C447" s="34" t="s">
        <v>101</v>
      </c>
      <c r="D447" s="34"/>
      <c r="E447" s="35" t="s">
        <v>271</v>
      </c>
      <c r="F447" s="46">
        <f>F448</f>
        <v>3896.5</v>
      </c>
      <c r="G447" s="67" t="e">
        <f>#REF!</f>
        <v>#REF!</v>
      </c>
      <c r="H447" s="71"/>
    </row>
    <row r="448" spans="1:8" ht="70.5" customHeight="1">
      <c r="A448" s="43">
        <v>408</v>
      </c>
      <c r="B448" s="33">
        <v>1001</v>
      </c>
      <c r="C448" s="34" t="s">
        <v>142</v>
      </c>
      <c r="D448" s="34"/>
      <c r="E448" s="40" t="s">
        <v>81</v>
      </c>
      <c r="F448" s="46">
        <f>F449</f>
        <v>3896.5</v>
      </c>
      <c r="G448" s="67"/>
      <c r="H448" s="71"/>
    </row>
    <row r="449" spans="1:11" s="4" customFormat="1" ht="35.25" customHeight="1">
      <c r="A449" s="43">
        <v>409</v>
      </c>
      <c r="B449" s="36">
        <v>1001</v>
      </c>
      <c r="C449" s="37" t="s">
        <v>142</v>
      </c>
      <c r="D449" s="45" t="s">
        <v>43</v>
      </c>
      <c r="E449" s="38" t="s">
        <v>44</v>
      </c>
      <c r="F449" s="47">
        <f>3365+531.5</f>
        <v>3896.5</v>
      </c>
      <c r="G449" s="74"/>
      <c r="H449" s="71"/>
    </row>
    <row r="450" spans="1:11" ht="29.25" customHeight="1">
      <c r="A450" s="43">
        <v>410</v>
      </c>
      <c r="B450" s="33">
        <v>1003</v>
      </c>
      <c r="C450" s="34"/>
      <c r="D450" s="34"/>
      <c r="E450" s="35" t="s">
        <v>25</v>
      </c>
      <c r="F450" s="46">
        <f>SUM(F451+F465+F470+F471+F474)</f>
        <v>29805.897999999997</v>
      </c>
      <c r="G450" s="67" t="e">
        <f>G451+#REF!</f>
        <v>#REF!</v>
      </c>
      <c r="H450" s="70"/>
    </row>
    <row r="451" spans="1:11" s="4" customFormat="1" ht="29.25" customHeight="1">
      <c r="A451" s="43">
        <v>411</v>
      </c>
      <c r="B451" s="33">
        <v>1003</v>
      </c>
      <c r="C451" s="34" t="s">
        <v>143</v>
      </c>
      <c r="D451" s="34"/>
      <c r="E451" s="35" t="s">
        <v>371</v>
      </c>
      <c r="F451" s="46">
        <f>SUM(F452+F455+F458+F460+F463)</f>
        <v>29790.3</v>
      </c>
      <c r="G451" s="74" t="e">
        <f>#REF!</f>
        <v>#REF!</v>
      </c>
      <c r="H451" s="71"/>
    </row>
    <row r="452" spans="1:11" s="5" customFormat="1" ht="119.25" customHeight="1">
      <c r="A452" s="43">
        <v>412</v>
      </c>
      <c r="B452" s="33">
        <v>1003</v>
      </c>
      <c r="C452" s="34" t="s">
        <v>246</v>
      </c>
      <c r="D452" s="37"/>
      <c r="E452" s="35" t="s">
        <v>82</v>
      </c>
      <c r="F452" s="46">
        <f>SUM(F453:F454)</f>
        <v>1359.0000000000002</v>
      </c>
      <c r="G452" s="67"/>
      <c r="H452" s="75"/>
    </row>
    <row r="453" spans="1:11" s="5" customFormat="1" ht="37.5" customHeight="1">
      <c r="A453" s="43">
        <v>413</v>
      </c>
      <c r="B453" s="36">
        <v>1003</v>
      </c>
      <c r="C453" s="37" t="s">
        <v>246</v>
      </c>
      <c r="D453" s="37" t="s">
        <v>56</v>
      </c>
      <c r="E453" s="38" t="s">
        <v>162</v>
      </c>
      <c r="F453" s="47">
        <v>32.700000000000003</v>
      </c>
      <c r="G453" s="67"/>
      <c r="H453" s="70"/>
    </row>
    <row r="454" spans="1:11" s="5" customFormat="1" ht="30" customHeight="1">
      <c r="A454" s="43">
        <v>414</v>
      </c>
      <c r="B454" s="36">
        <v>1003</v>
      </c>
      <c r="C454" s="37" t="s">
        <v>246</v>
      </c>
      <c r="D454" s="37" t="s">
        <v>43</v>
      </c>
      <c r="E454" s="38" t="s">
        <v>302</v>
      </c>
      <c r="F454" s="47">
        <f>2185.3-859</f>
        <v>1326.3000000000002</v>
      </c>
      <c r="G454" s="67"/>
      <c r="H454" s="70"/>
    </row>
    <row r="455" spans="1:11" s="5" customFormat="1" ht="134.25" customHeight="1">
      <c r="A455" s="43">
        <v>415</v>
      </c>
      <c r="B455" s="33">
        <v>1003</v>
      </c>
      <c r="C455" s="34" t="s">
        <v>144</v>
      </c>
      <c r="D455" s="37"/>
      <c r="E455" s="35" t="s">
        <v>314</v>
      </c>
      <c r="F455" s="46">
        <f>SUM(F456:F457)</f>
        <v>3115.7000000000003</v>
      </c>
      <c r="G455" s="67"/>
      <c r="H455" s="70"/>
    </row>
    <row r="456" spans="1:11" ht="30" customHeight="1">
      <c r="A456" s="43">
        <v>416</v>
      </c>
      <c r="B456" s="36">
        <v>1003</v>
      </c>
      <c r="C456" s="37" t="s">
        <v>144</v>
      </c>
      <c r="D456" s="37" t="s">
        <v>56</v>
      </c>
      <c r="E456" s="38" t="s">
        <v>162</v>
      </c>
      <c r="F456" s="47">
        <f>40.8+1</f>
        <v>41.8</v>
      </c>
      <c r="G456" s="72"/>
      <c r="H456" s="70"/>
    </row>
    <row r="457" spans="1:11" ht="28.5" customHeight="1">
      <c r="A457" s="43" t="s">
        <v>535</v>
      </c>
      <c r="B457" s="36">
        <v>1003</v>
      </c>
      <c r="C457" s="37" t="s">
        <v>144</v>
      </c>
      <c r="D457" s="37" t="s">
        <v>43</v>
      </c>
      <c r="E457" s="38" t="s">
        <v>254</v>
      </c>
      <c r="F457" s="47">
        <f>2724.9+69+280</f>
        <v>3073.9</v>
      </c>
      <c r="G457" s="67"/>
      <c r="H457" s="71"/>
    </row>
    <row r="458" spans="1:11" ht="56.25" customHeight="1">
      <c r="A458" s="43">
        <v>417</v>
      </c>
      <c r="B458" s="33">
        <v>1003</v>
      </c>
      <c r="C458" s="34" t="s">
        <v>530</v>
      </c>
      <c r="D458" s="37"/>
      <c r="E458" s="35" t="s">
        <v>537</v>
      </c>
      <c r="F458" s="46">
        <f>SUM(F459)</f>
        <v>12</v>
      </c>
      <c r="G458" s="67"/>
      <c r="H458" s="71"/>
    </row>
    <row r="459" spans="1:11" ht="28.5" customHeight="1">
      <c r="A459" s="43" t="s">
        <v>536</v>
      </c>
      <c r="B459" s="36">
        <v>1003</v>
      </c>
      <c r="C459" s="37" t="s">
        <v>530</v>
      </c>
      <c r="D459" s="37" t="s">
        <v>56</v>
      </c>
      <c r="E459" s="38" t="s">
        <v>162</v>
      </c>
      <c r="F459" s="47">
        <v>12</v>
      </c>
      <c r="G459" s="67"/>
      <c r="H459" s="71"/>
    </row>
    <row r="460" spans="1:11" s="5" customFormat="1" ht="131.25" customHeight="1">
      <c r="A460" s="43">
        <v>418</v>
      </c>
      <c r="B460" s="33">
        <v>1003</v>
      </c>
      <c r="C460" s="34" t="s">
        <v>247</v>
      </c>
      <c r="D460" s="37"/>
      <c r="E460" s="35" t="s">
        <v>83</v>
      </c>
      <c r="F460" s="46">
        <f>SUM(F461:F462)</f>
        <v>25297.1</v>
      </c>
      <c r="G460" s="67"/>
      <c r="H460" s="71"/>
      <c r="K460" s="5" t="s">
        <v>338</v>
      </c>
    </row>
    <row r="461" spans="1:11" s="5" customFormat="1" ht="36.75" customHeight="1">
      <c r="A461" s="43">
        <v>419</v>
      </c>
      <c r="B461" s="36">
        <v>1003</v>
      </c>
      <c r="C461" s="37" t="s">
        <v>247</v>
      </c>
      <c r="D461" s="37" t="s">
        <v>56</v>
      </c>
      <c r="E461" s="38" t="s">
        <v>162</v>
      </c>
      <c r="F461" s="47">
        <f>293.6+8.9+31.4</f>
        <v>333.9</v>
      </c>
      <c r="G461" s="67"/>
      <c r="H461" s="71"/>
    </row>
    <row r="462" spans="1:11" s="5" customFormat="1" ht="26.25" customHeight="1">
      <c r="A462" s="43">
        <v>420</v>
      </c>
      <c r="B462" s="36">
        <v>1003</v>
      </c>
      <c r="C462" s="37" t="s">
        <v>247</v>
      </c>
      <c r="D462" s="37" t="s">
        <v>43</v>
      </c>
      <c r="E462" s="38" t="s">
        <v>302</v>
      </c>
      <c r="F462" s="47">
        <f>19573+0.3+593.8+2096.1+2700</f>
        <v>24963.199999999997</v>
      </c>
      <c r="G462" s="67"/>
      <c r="H462" s="71"/>
    </row>
    <row r="463" spans="1:11" s="5" customFormat="1" ht="75" customHeight="1">
      <c r="A463" s="43">
        <v>421</v>
      </c>
      <c r="B463" s="33">
        <v>1003</v>
      </c>
      <c r="C463" s="34" t="s">
        <v>301</v>
      </c>
      <c r="D463" s="37"/>
      <c r="E463" s="65" t="s">
        <v>300</v>
      </c>
      <c r="F463" s="46">
        <f t="shared" ref="F463" si="8">F464</f>
        <v>6.5</v>
      </c>
      <c r="G463" s="67"/>
      <c r="H463" s="70"/>
    </row>
    <row r="464" spans="1:11" s="5" customFormat="1" ht="42" customHeight="1">
      <c r="A464" s="43">
        <v>422</v>
      </c>
      <c r="B464" s="36">
        <v>1003</v>
      </c>
      <c r="C464" s="37" t="s">
        <v>301</v>
      </c>
      <c r="D464" s="37" t="s">
        <v>43</v>
      </c>
      <c r="E464" s="38" t="s">
        <v>302</v>
      </c>
      <c r="F464" s="47">
        <f>9.9-3.4</f>
        <v>6.5</v>
      </c>
      <c r="G464" s="67"/>
      <c r="H464" s="70"/>
    </row>
    <row r="465" spans="1:8" s="5" customFormat="1" ht="41.25" customHeight="1">
      <c r="A465" s="43">
        <v>423</v>
      </c>
      <c r="B465" s="33">
        <v>1003</v>
      </c>
      <c r="C465" s="34" t="s">
        <v>145</v>
      </c>
      <c r="D465" s="37"/>
      <c r="E465" s="35" t="s">
        <v>306</v>
      </c>
      <c r="F465" s="46">
        <f>SUM(F466+F468)</f>
        <v>9.1</v>
      </c>
      <c r="G465" s="67"/>
      <c r="H465" s="70"/>
    </row>
    <row r="466" spans="1:8" s="5" customFormat="1" ht="42" customHeight="1">
      <c r="A466" s="43">
        <v>424</v>
      </c>
      <c r="B466" s="33">
        <v>1003</v>
      </c>
      <c r="C466" s="44" t="s">
        <v>253</v>
      </c>
      <c r="D466" s="37"/>
      <c r="E466" s="42" t="s">
        <v>232</v>
      </c>
      <c r="F466" s="46">
        <f>SUM(F467)</f>
        <v>9.1</v>
      </c>
      <c r="G466" s="67"/>
      <c r="H466" s="70"/>
    </row>
    <row r="467" spans="1:8" s="5" customFormat="1" ht="28.5" customHeight="1">
      <c r="A467" s="43">
        <v>425</v>
      </c>
      <c r="B467" s="36">
        <v>1003</v>
      </c>
      <c r="C467" s="45" t="s">
        <v>253</v>
      </c>
      <c r="D467" s="45" t="s">
        <v>41</v>
      </c>
      <c r="E467" s="38" t="s">
        <v>42</v>
      </c>
      <c r="F467" s="47">
        <f>9+0.1</f>
        <v>9.1</v>
      </c>
      <c r="G467" s="67"/>
      <c r="H467" s="70"/>
    </row>
    <row r="468" spans="1:8" s="5" customFormat="1" ht="24.75" customHeight="1">
      <c r="A468" s="43">
        <v>426</v>
      </c>
      <c r="B468" s="36">
        <v>1003</v>
      </c>
      <c r="C468" s="45" t="s">
        <v>298</v>
      </c>
      <c r="D468" s="45"/>
      <c r="E468" s="35" t="s">
        <v>297</v>
      </c>
      <c r="F468" s="46">
        <f>SUM(F469)</f>
        <v>0</v>
      </c>
      <c r="G468" s="67"/>
      <c r="H468" s="70"/>
    </row>
    <row r="469" spans="1:8" ht="29.25" customHeight="1">
      <c r="A469" s="43">
        <v>427</v>
      </c>
      <c r="B469" s="36">
        <v>1003</v>
      </c>
      <c r="C469" s="45" t="s">
        <v>298</v>
      </c>
      <c r="D469" s="45" t="s">
        <v>56</v>
      </c>
      <c r="E469" s="38" t="s">
        <v>162</v>
      </c>
      <c r="F469" s="47">
        <f>16-16</f>
        <v>0</v>
      </c>
      <c r="G469" s="72"/>
      <c r="H469" s="71"/>
    </row>
    <row r="470" spans="1:8" ht="48" customHeight="1">
      <c r="A470" s="43">
        <v>428</v>
      </c>
      <c r="B470" s="33">
        <v>1003</v>
      </c>
      <c r="C470" s="44" t="s">
        <v>146</v>
      </c>
      <c r="D470" s="37"/>
      <c r="E470" s="35" t="s">
        <v>264</v>
      </c>
      <c r="F470" s="46">
        <v>0</v>
      </c>
      <c r="G470" s="72"/>
      <c r="H470" s="71"/>
    </row>
    <row r="471" spans="1:8" ht="29.25" customHeight="1">
      <c r="A471" s="43">
        <v>429</v>
      </c>
      <c r="B471" s="33">
        <v>1003</v>
      </c>
      <c r="C471" s="44" t="s">
        <v>204</v>
      </c>
      <c r="D471" s="34"/>
      <c r="E471" s="42" t="s">
        <v>372</v>
      </c>
      <c r="F471" s="46">
        <f>SUM(F472)</f>
        <v>5</v>
      </c>
      <c r="G471" s="72"/>
      <c r="H471" s="71"/>
    </row>
    <row r="472" spans="1:8" ht="42" customHeight="1">
      <c r="A472" s="43">
        <v>430</v>
      </c>
      <c r="B472" s="33">
        <v>1003</v>
      </c>
      <c r="C472" s="44" t="s">
        <v>235</v>
      </c>
      <c r="D472" s="34"/>
      <c r="E472" s="35" t="s">
        <v>236</v>
      </c>
      <c r="F472" s="46">
        <f>SUM(F473)</f>
        <v>5</v>
      </c>
      <c r="G472" s="72"/>
      <c r="H472" s="71"/>
    </row>
    <row r="473" spans="1:8" ht="33" customHeight="1">
      <c r="A473" s="43">
        <v>431</v>
      </c>
      <c r="B473" s="36">
        <v>1003</v>
      </c>
      <c r="C473" s="45" t="s">
        <v>235</v>
      </c>
      <c r="D473" s="37" t="s">
        <v>56</v>
      </c>
      <c r="E473" s="38" t="s">
        <v>162</v>
      </c>
      <c r="F473" s="47">
        <v>5</v>
      </c>
      <c r="G473" s="72"/>
      <c r="H473" s="71"/>
    </row>
    <row r="474" spans="1:8" ht="24.75" customHeight="1">
      <c r="A474" s="43">
        <v>432</v>
      </c>
      <c r="B474" s="33">
        <v>1003</v>
      </c>
      <c r="C474" s="44" t="s">
        <v>96</v>
      </c>
      <c r="D474" s="34"/>
      <c r="E474" s="35" t="s">
        <v>53</v>
      </c>
      <c r="F474" s="46">
        <f>SUM(F475)</f>
        <v>1.4980000000000002</v>
      </c>
      <c r="G474" s="72"/>
      <c r="H474" s="71"/>
    </row>
    <row r="475" spans="1:8" ht="66.75" customHeight="1">
      <c r="A475" s="43">
        <v>433</v>
      </c>
      <c r="B475" s="33">
        <v>1003</v>
      </c>
      <c r="C475" s="44" t="s">
        <v>237</v>
      </c>
      <c r="D475" s="44"/>
      <c r="E475" s="65" t="s">
        <v>91</v>
      </c>
      <c r="F475" s="46">
        <f>SUM(F476)</f>
        <v>1.4980000000000002</v>
      </c>
      <c r="G475" s="72"/>
      <c r="H475" s="71"/>
    </row>
    <row r="476" spans="1:8" ht="40.5" customHeight="1">
      <c r="A476" s="43">
        <v>434</v>
      </c>
      <c r="B476" s="36">
        <v>1003</v>
      </c>
      <c r="C476" s="45" t="s">
        <v>237</v>
      </c>
      <c r="D476" s="45" t="s">
        <v>48</v>
      </c>
      <c r="E476" s="38" t="s">
        <v>164</v>
      </c>
      <c r="F476" s="47">
        <f>5-0.002-3.5</f>
        <v>1.4980000000000002</v>
      </c>
      <c r="G476" s="72"/>
      <c r="H476" s="71"/>
    </row>
    <row r="477" spans="1:8" ht="21.75" customHeight="1">
      <c r="A477" s="43">
        <v>435</v>
      </c>
      <c r="B477" s="33">
        <v>1004</v>
      </c>
      <c r="C477" s="45"/>
      <c r="D477" s="37"/>
      <c r="E477" s="35" t="s">
        <v>304</v>
      </c>
      <c r="F477" s="46">
        <f>F478+F482</f>
        <v>1424.4</v>
      </c>
      <c r="G477" s="72"/>
      <c r="H477" s="71"/>
    </row>
    <row r="478" spans="1:8" ht="39" customHeight="1">
      <c r="A478" s="43">
        <v>436</v>
      </c>
      <c r="B478" s="33">
        <v>1004</v>
      </c>
      <c r="C478" s="44" t="s">
        <v>200</v>
      </c>
      <c r="D478" s="34"/>
      <c r="E478" s="35" t="s">
        <v>373</v>
      </c>
      <c r="F478" s="46">
        <f>SUM(F479)</f>
        <v>1378.4</v>
      </c>
      <c r="G478" s="72"/>
      <c r="H478" s="71"/>
    </row>
    <row r="479" spans="1:8" ht="69" customHeight="1">
      <c r="A479" s="43">
        <v>437</v>
      </c>
      <c r="B479" s="33">
        <v>1004</v>
      </c>
      <c r="C479" s="44" t="s">
        <v>251</v>
      </c>
      <c r="D479" s="34"/>
      <c r="E479" s="35" t="s">
        <v>198</v>
      </c>
      <c r="F479" s="46">
        <f>SUM(F480)</f>
        <v>1378.4</v>
      </c>
      <c r="G479" s="72"/>
      <c r="H479" s="71"/>
    </row>
    <row r="480" spans="1:8" ht="31.5" customHeight="1">
      <c r="A480" s="43">
        <v>438</v>
      </c>
      <c r="B480" s="33">
        <v>1004</v>
      </c>
      <c r="C480" s="44" t="s">
        <v>331</v>
      </c>
      <c r="D480" s="34"/>
      <c r="E480" s="35" t="s">
        <v>199</v>
      </c>
      <c r="F480" s="46">
        <f>SUM(F481)</f>
        <v>1378.4</v>
      </c>
      <c r="G480" s="72"/>
      <c r="H480" s="71"/>
    </row>
    <row r="481" spans="1:8" ht="31.5" customHeight="1">
      <c r="A481" s="43">
        <v>439</v>
      </c>
      <c r="B481" s="36">
        <v>1004</v>
      </c>
      <c r="C481" s="45" t="s">
        <v>331</v>
      </c>
      <c r="D481" s="37" t="s">
        <v>43</v>
      </c>
      <c r="E481" s="38" t="s">
        <v>44</v>
      </c>
      <c r="F481" s="47">
        <f>560-4.8+1033.8-210.6</f>
        <v>1378.4</v>
      </c>
      <c r="G481" s="72"/>
      <c r="H481" s="71"/>
    </row>
    <row r="482" spans="1:8" ht="47.25" customHeight="1">
      <c r="A482" s="43">
        <v>440</v>
      </c>
      <c r="B482" s="33">
        <v>1004</v>
      </c>
      <c r="C482" s="44" t="s">
        <v>132</v>
      </c>
      <c r="D482" s="34"/>
      <c r="E482" s="35" t="s">
        <v>276</v>
      </c>
      <c r="F482" s="46">
        <f>SUM(F483)</f>
        <v>46</v>
      </c>
      <c r="G482" s="72"/>
      <c r="H482" s="71"/>
    </row>
    <row r="483" spans="1:8" ht="45" customHeight="1">
      <c r="A483" s="43">
        <v>441</v>
      </c>
      <c r="B483" s="33">
        <v>1004</v>
      </c>
      <c r="C483" s="44" t="s">
        <v>296</v>
      </c>
      <c r="D483" s="37"/>
      <c r="E483" s="65" t="s">
        <v>406</v>
      </c>
      <c r="F483" s="46">
        <f>SUM(F484)</f>
        <v>46</v>
      </c>
      <c r="G483" s="72"/>
      <c r="H483" s="71"/>
    </row>
    <row r="484" spans="1:8" ht="23.25" customHeight="1">
      <c r="A484" s="43">
        <v>442</v>
      </c>
      <c r="B484" s="36">
        <v>1004</v>
      </c>
      <c r="C484" s="45" t="s">
        <v>296</v>
      </c>
      <c r="D484" s="37" t="s">
        <v>248</v>
      </c>
      <c r="E484" s="38" t="s">
        <v>249</v>
      </c>
      <c r="F484" s="47">
        <v>46</v>
      </c>
      <c r="G484" s="72"/>
      <c r="H484" s="71"/>
    </row>
    <row r="485" spans="1:8" ht="16.5" customHeight="1">
      <c r="A485" s="43">
        <v>443</v>
      </c>
      <c r="B485" s="33">
        <v>1006</v>
      </c>
      <c r="C485" s="45"/>
      <c r="D485" s="44"/>
      <c r="E485" s="35" t="s">
        <v>36</v>
      </c>
      <c r="F485" s="46">
        <f>SUM(F486)</f>
        <v>2000.4</v>
      </c>
      <c r="G485" s="72"/>
      <c r="H485" s="71"/>
    </row>
    <row r="486" spans="1:8" ht="41.25" customHeight="1">
      <c r="A486" s="43">
        <v>444</v>
      </c>
      <c r="B486" s="33">
        <v>1006</v>
      </c>
      <c r="C486" s="34" t="s">
        <v>143</v>
      </c>
      <c r="D486" s="34"/>
      <c r="E486" s="35" t="s">
        <v>371</v>
      </c>
      <c r="F486" s="46">
        <f>SUM(F487+F489)</f>
        <v>2000.4</v>
      </c>
      <c r="G486" s="72"/>
      <c r="H486" s="71"/>
    </row>
    <row r="487" spans="1:8" ht="129.75" customHeight="1">
      <c r="A487" s="43">
        <v>445</v>
      </c>
      <c r="B487" s="33">
        <v>1006</v>
      </c>
      <c r="C487" s="34" t="s">
        <v>246</v>
      </c>
      <c r="D487" s="34"/>
      <c r="E487" s="35" t="s">
        <v>84</v>
      </c>
      <c r="F487" s="46">
        <f>SUM(F488:F488)</f>
        <v>141</v>
      </c>
      <c r="G487" s="72"/>
      <c r="H487" s="71"/>
    </row>
    <row r="488" spans="1:8" ht="27.75" customHeight="1">
      <c r="A488" s="43">
        <v>446</v>
      </c>
      <c r="B488" s="36">
        <v>1006</v>
      </c>
      <c r="C488" s="37" t="s">
        <v>246</v>
      </c>
      <c r="D488" s="37" t="s">
        <v>45</v>
      </c>
      <c r="E488" s="38" t="s">
        <v>163</v>
      </c>
      <c r="F488" s="47">
        <f>164-15-8</f>
        <v>141</v>
      </c>
      <c r="G488" s="72"/>
      <c r="H488" s="71"/>
    </row>
    <row r="489" spans="1:8" s="5" customFormat="1" ht="140.25" customHeight="1">
      <c r="A489" s="43">
        <v>447</v>
      </c>
      <c r="B489" s="33">
        <v>1006</v>
      </c>
      <c r="C489" s="34" t="s">
        <v>247</v>
      </c>
      <c r="D489" s="34"/>
      <c r="E489" s="35" t="s">
        <v>85</v>
      </c>
      <c r="F489" s="46">
        <f>SUM(F490:F491)</f>
        <v>1859.4</v>
      </c>
      <c r="G489" s="67"/>
      <c r="H489" s="71"/>
    </row>
    <row r="490" spans="1:8" ht="26.25" customHeight="1">
      <c r="A490" s="43">
        <v>448</v>
      </c>
      <c r="B490" s="36">
        <v>1006</v>
      </c>
      <c r="C490" s="37" t="s">
        <v>247</v>
      </c>
      <c r="D490" s="37" t="s">
        <v>45</v>
      </c>
      <c r="E490" s="38" t="s">
        <v>163</v>
      </c>
      <c r="F490" s="47">
        <v>1022.2</v>
      </c>
      <c r="G490" s="67" t="e">
        <f>#REF!+#REF!+G513</f>
        <v>#REF!</v>
      </c>
      <c r="H490" s="70"/>
    </row>
    <row r="491" spans="1:8" ht="29.25" customHeight="1">
      <c r="A491" s="43">
        <v>449</v>
      </c>
      <c r="B491" s="36">
        <v>1006</v>
      </c>
      <c r="C491" s="37" t="s">
        <v>247</v>
      </c>
      <c r="D491" s="37" t="s">
        <v>56</v>
      </c>
      <c r="E491" s="38" t="s">
        <v>162</v>
      </c>
      <c r="F491" s="47">
        <f>837.5-0.3</f>
        <v>837.2</v>
      </c>
      <c r="G491" s="67"/>
      <c r="H491" s="71"/>
    </row>
    <row r="492" spans="1:8" ht="25.5" customHeight="1">
      <c r="A492" s="43">
        <v>450</v>
      </c>
      <c r="B492" s="33">
        <v>1100</v>
      </c>
      <c r="C492" s="44"/>
      <c r="D492" s="44"/>
      <c r="E492" s="35" t="s">
        <v>32</v>
      </c>
      <c r="F492" s="46">
        <f>SUM(F493)</f>
        <v>10461.599999999999</v>
      </c>
      <c r="G492" s="67"/>
      <c r="H492" s="71"/>
    </row>
    <row r="493" spans="1:8" ht="18.75" customHeight="1">
      <c r="A493" s="43">
        <v>451</v>
      </c>
      <c r="B493" s="33">
        <v>1102</v>
      </c>
      <c r="C493" s="44"/>
      <c r="D493" s="44"/>
      <c r="E493" s="35" t="s">
        <v>155</v>
      </c>
      <c r="F493" s="46">
        <f>SUM(F494)</f>
        <v>10461.599999999999</v>
      </c>
      <c r="G493" s="67"/>
      <c r="H493" s="71"/>
    </row>
    <row r="494" spans="1:8" ht="40.5" customHeight="1">
      <c r="A494" s="43">
        <v>452</v>
      </c>
      <c r="B494" s="33">
        <v>1102</v>
      </c>
      <c r="C494" s="34" t="s">
        <v>119</v>
      </c>
      <c r="D494" s="34"/>
      <c r="E494" s="35" t="s">
        <v>363</v>
      </c>
      <c r="F494" s="46">
        <f>SUM(F495+F497+F499+F501+F503)</f>
        <v>10461.599999999999</v>
      </c>
      <c r="G494" s="67"/>
      <c r="H494" s="71"/>
    </row>
    <row r="495" spans="1:8" ht="38.25" customHeight="1">
      <c r="A495" s="43">
        <v>453</v>
      </c>
      <c r="B495" s="33">
        <v>1102</v>
      </c>
      <c r="C495" s="34" t="s">
        <v>326</v>
      </c>
      <c r="D495" s="34"/>
      <c r="E495" s="35" t="s">
        <v>325</v>
      </c>
      <c r="F495" s="46">
        <f>SUM(F496:F496)</f>
        <v>153.30000000000001</v>
      </c>
      <c r="G495" s="67" t="e">
        <f>#REF!</f>
        <v>#REF!</v>
      </c>
      <c r="H495" s="71"/>
    </row>
    <row r="496" spans="1:8" ht="21.75" customHeight="1">
      <c r="A496" s="43">
        <v>454</v>
      </c>
      <c r="B496" s="36">
        <v>1102</v>
      </c>
      <c r="C496" s="37" t="s">
        <v>326</v>
      </c>
      <c r="D496" s="37" t="s">
        <v>248</v>
      </c>
      <c r="E496" s="38" t="s">
        <v>249</v>
      </c>
      <c r="F496" s="47">
        <v>153.30000000000001</v>
      </c>
      <c r="G496" s="67"/>
      <c r="H496" s="71"/>
    </row>
    <row r="497" spans="1:8" ht="36.75" customHeight="1">
      <c r="A497" s="43">
        <v>455</v>
      </c>
      <c r="B497" s="33">
        <v>1102</v>
      </c>
      <c r="C497" s="34" t="s">
        <v>152</v>
      </c>
      <c r="D497" s="34"/>
      <c r="E497" s="35" t="s">
        <v>86</v>
      </c>
      <c r="F497" s="46">
        <f>SUM(F498:F498)</f>
        <v>10053.4</v>
      </c>
      <c r="G497" s="67"/>
      <c r="H497" s="71"/>
    </row>
    <row r="498" spans="1:8" ht="21.75" customHeight="1">
      <c r="A498" s="43">
        <v>456</v>
      </c>
      <c r="B498" s="36">
        <v>1102</v>
      </c>
      <c r="C498" s="37" t="s">
        <v>152</v>
      </c>
      <c r="D498" s="37" t="s">
        <v>248</v>
      </c>
      <c r="E498" s="38" t="s">
        <v>249</v>
      </c>
      <c r="F498" s="47">
        <f>10412.9-50+2+10+5-37.4-289.1</f>
        <v>10053.4</v>
      </c>
      <c r="G498" s="67"/>
      <c r="H498" s="71"/>
    </row>
    <row r="499" spans="1:8" ht="70.5" customHeight="1">
      <c r="A499" s="43">
        <v>457</v>
      </c>
      <c r="B499" s="33">
        <v>1102</v>
      </c>
      <c r="C499" s="34" t="s">
        <v>467</v>
      </c>
      <c r="D499" s="37"/>
      <c r="E499" s="35" t="s">
        <v>466</v>
      </c>
      <c r="F499" s="46">
        <f>SUM(F500:F500)</f>
        <v>80</v>
      </c>
      <c r="G499" s="67"/>
      <c r="H499" s="71"/>
    </row>
    <row r="500" spans="1:8" ht="19.5" customHeight="1">
      <c r="A500" s="43">
        <v>458</v>
      </c>
      <c r="B500" s="36">
        <v>1102</v>
      </c>
      <c r="C500" s="37" t="s">
        <v>467</v>
      </c>
      <c r="D500" s="37" t="s">
        <v>248</v>
      </c>
      <c r="E500" s="38" t="s">
        <v>249</v>
      </c>
      <c r="F500" s="47">
        <v>80</v>
      </c>
      <c r="G500" s="67"/>
      <c r="H500" s="71"/>
    </row>
    <row r="501" spans="1:8" ht="43.5" customHeight="1">
      <c r="A501" s="43">
        <v>459</v>
      </c>
      <c r="B501" s="36">
        <v>1102</v>
      </c>
      <c r="C501" s="37" t="s">
        <v>318</v>
      </c>
      <c r="D501" s="37"/>
      <c r="E501" s="35" t="s">
        <v>317</v>
      </c>
      <c r="F501" s="46">
        <f>SUM(F502:F502)</f>
        <v>122.4</v>
      </c>
      <c r="G501" s="67"/>
      <c r="H501" s="71"/>
    </row>
    <row r="502" spans="1:8" ht="15" customHeight="1">
      <c r="A502" s="43">
        <v>460</v>
      </c>
      <c r="B502" s="36">
        <v>1102</v>
      </c>
      <c r="C502" s="37" t="s">
        <v>318</v>
      </c>
      <c r="D502" s="37" t="s">
        <v>248</v>
      </c>
      <c r="E502" s="38" t="s">
        <v>249</v>
      </c>
      <c r="F502" s="47">
        <v>122.4</v>
      </c>
      <c r="G502" s="67"/>
      <c r="H502" s="71"/>
    </row>
    <row r="503" spans="1:8" ht="56.25" customHeight="1">
      <c r="A503" s="43">
        <v>461</v>
      </c>
      <c r="B503" s="36">
        <v>1102</v>
      </c>
      <c r="C503" s="37" t="s">
        <v>323</v>
      </c>
      <c r="D503" s="37"/>
      <c r="E503" s="35" t="s">
        <v>324</v>
      </c>
      <c r="F503" s="46">
        <f>SUM(F504:F504)</f>
        <v>52.5</v>
      </c>
      <c r="G503" s="74"/>
      <c r="H503" s="71"/>
    </row>
    <row r="504" spans="1:8" ht="23.25" customHeight="1">
      <c r="A504" s="43">
        <v>462</v>
      </c>
      <c r="B504" s="36">
        <v>1102</v>
      </c>
      <c r="C504" s="37" t="s">
        <v>323</v>
      </c>
      <c r="D504" s="37" t="s">
        <v>248</v>
      </c>
      <c r="E504" s="38" t="s">
        <v>249</v>
      </c>
      <c r="F504" s="47">
        <f>52.5</f>
        <v>52.5</v>
      </c>
      <c r="G504" s="72">
        <v>7823</v>
      </c>
      <c r="H504" s="71"/>
    </row>
    <row r="505" spans="1:8" ht="18" customHeight="1">
      <c r="A505" s="43">
        <v>463</v>
      </c>
      <c r="B505" s="33">
        <v>1200</v>
      </c>
      <c r="C505" s="34"/>
      <c r="D505" s="34"/>
      <c r="E505" s="53" t="s">
        <v>51</v>
      </c>
      <c r="F505" s="46">
        <f>SUM(F506)</f>
        <v>339.8</v>
      </c>
      <c r="G505" s="72"/>
      <c r="H505" s="71"/>
    </row>
    <row r="506" spans="1:8" ht="23.25" customHeight="1">
      <c r="A506" s="43">
        <v>464</v>
      </c>
      <c r="B506" s="33">
        <v>1202</v>
      </c>
      <c r="C506" s="34"/>
      <c r="D506" s="34"/>
      <c r="E506" s="53" t="s">
        <v>156</v>
      </c>
      <c r="F506" s="46">
        <f>SUM(F507+F510)</f>
        <v>339.8</v>
      </c>
      <c r="G506" s="67" t="e">
        <f>#REF!</f>
        <v>#REF!</v>
      </c>
      <c r="H506" s="71"/>
    </row>
    <row r="507" spans="1:8" ht="43.5" customHeight="1">
      <c r="A507" s="43">
        <v>465</v>
      </c>
      <c r="B507" s="33">
        <v>1202</v>
      </c>
      <c r="C507" s="34" t="s">
        <v>101</v>
      </c>
      <c r="D507" s="34"/>
      <c r="E507" s="35" t="s">
        <v>271</v>
      </c>
      <c r="F507" s="46">
        <f>SUM(F508)</f>
        <v>219.1</v>
      </c>
      <c r="G507" s="67"/>
      <c r="H507" s="71"/>
    </row>
    <row r="508" spans="1:8" ht="39" customHeight="1">
      <c r="A508" s="43">
        <v>466</v>
      </c>
      <c r="B508" s="33">
        <v>1202</v>
      </c>
      <c r="C508" s="34" t="s">
        <v>147</v>
      </c>
      <c r="D508" s="34"/>
      <c r="E508" s="35" t="s">
        <v>87</v>
      </c>
      <c r="F508" s="46">
        <f>SUM(F509)</f>
        <v>219.1</v>
      </c>
      <c r="G508" s="67"/>
      <c r="H508" s="71"/>
    </row>
    <row r="509" spans="1:8" ht="39" customHeight="1">
      <c r="A509" s="43">
        <v>467</v>
      </c>
      <c r="B509" s="36">
        <v>1202</v>
      </c>
      <c r="C509" s="37" t="s">
        <v>147</v>
      </c>
      <c r="D509" s="37" t="s">
        <v>48</v>
      </c>
      <c r="E509" s="38" t="s">
        <v>164</v>
      </c>
      <c r="F509" s="90">
        <f>200+19.1</f>
        <v>219.1</v>
      </c>
      <c r="G509" s="67"/>
      <c r="H509" s="71"/>
    </row>
    <row r="510" spans="1:8" ht="21.75" customHeight="1">
      <c r="A510" s="43">
        <v>468</v>
      </c>
      <c r="B510" s="33">
        <v>1202</v>
      </c>
      <c r="C510" s="34" t="s">
        <v>96</v>
      </c>
      <c r="D510" s="34"/>
      <c r="E510" s="35" t="s">
        <v>53</v>
      </c>
      <c r="F510" s="46">
        <f>SUM(F511)</f>
        <v>120.7</v>
      </c>
      <c r="G510" s="67"/>
      <c r="H510" s="71"/>
    </row>
    <row r="511" spans="1:8" ht="41.25" customHeight="1">
      <c r="A511" s="43">
        <v>469</v>
      </c>
      <c r="B511" s="33">
        <v>1202</v>
      </c>
      <c r="C511" s="34" t="s">
        <v>374</v>
      </c>
      <c r="D511" s="34"/>
      <c r="E511" s="35" t="s">
        <v>87</v>
      </c>
      <c r="F511" s="46">
        <f>SUM(F512)</f>
        <v>120.7</v>
      </c>
      <c r="G511" s="11"/>
    </row>
    <row r="512" spans="1:8" ht="47.25" customHeight="1">
      <c r="A512" s="43">
        <v>470</v>
      </c>
      <c r="B512" s="36">
        <v>1202</v>
      </c>
      <c r="C512" s="37" t="s">
        <v>374</v>
      </c>
      <c r="D512" s="37" t="s">
        <v>48</v>
      </c>
      <c r="E512" s="38" t="s">
        <v>164</v>
      </c>
      <c r="F512" s="90">
        <f>99+21.7</f>
        <v>120.7</v>
      </c>
      <c r="G512" s="11"/>
    </row>
    <row r="513" spans="1:10" s="5" customFormat="1" ht="15">
      <c r="A513" s="43">
        <v>471</v>
      </c>
      <c r="B513" s="36"/>
      <c r="C513" s="37"/>
      <c r="D513" s="37"/>
      <c r="E513" s="53" t="s">
        <v>30</v>
      </c>
      <c r="F513" s="51">
        <f>F9+F107+F113+F145+F225+F311+F317+F419+F445+F492+F505</f>
        <v>694727.27</v>
      </c>
      <c r="G513" s="10" t="e">
        <f>#REF!+G517</f>
        <v>#REF!</v>
      </c>
      <c r="H513"/>
    </row>
    <row r="514" spans="1:10" s="5" customFormat="1">
      <c r="A514" s="99"/>
      <c r="B514" s="99"/>
      <c r="C514" s="99"/>
      <c r="D514" s="99"/>
      <c r="E514" s="99"/>
      <c r="F514" s="100"/>
      <c r="G514" s="10"/>
    </row>
    <row r="515" spans="1:10" s="4" customFormat="1" ht="15">
      <c r="A515" s="101" t="s">
        <v>514</v>
      </c>
      <c r="B515" s="101"/>
      <c r="C515" s="101"/>
      <c r="D515" s="101"/>
      <c r="E515" s="101"/>
      <c r="F515" s="102"/>
      <c r="G515" s="12"/>
      <c r="H515" s="5"/>
      <c r="I515" s="98"/>
      <c r="J515" s="98"/>
    </row>
    <row r="516" spans="1:10" s="5" customFormat="1" ht="24.75" customHeight="1">
      <c r="A516" s="41"/>
      <c r="B516" s="48"/>
      <c r="C516" s="48"/>
      <c r="D516" s="48"/>
      <c r="E516" s="49"/>
      <c r="F516" s="50"/>
      <c r="G516" s="10"/>
      <c r="H516" s="4"/>
    </row>
    <row r="517" spans="1:10">
      <c r="G517" s="13" t="e">
        <f>#REF!</f>
        <v>#REF!</v>
      </c>
      <c r="H517" s="5"/>
    </row>
    <row r="518" spans="1:10" ht="16.5" customHeight="1">
      <c r="G518" s="10" t="e">
        <f>G9+G107+G113+#REF!+#REF!+G311+#REF!+G447+G490+#REF!+#REF!</f>
        <v>#REF!</v>
      </c>
    </row>
    <row r="519" spans="1:10" ht="12.75" customHeight="1">
      <c r="G519" s="7"/>
    </row>
    <row r="520" spans="1:10">
      <c r="G520" s="20"/>
    </row>
    <row r="522" spans="1:10">
      <c r="G522" s="14"/>
    </row>
  </sheetData>
  <autoFilter ref="A8:G520"/>
  <mergeCells count="10">
    <mergeCell ref="I515:J515"/>
    <mergeCell ref="A514:F514"/>
    <mergeCell ref="A515:F515"/>
    <mergeCell ref="H229:J229"/>
    <mergeCell ref="A6:F6"/>
    <mergeCell ref="E1:F1"/>
    <mergeCell ref="E2:F2"/>
    <mergeCell ref="E3:F3"/>
    <mergeCell ref="B4:F4"/>
    <mergeCell ref="H292:J292"/>
  </mergeCells>
  <phoneticPr fontId="7" type="noConversion"/>
  <pageMargins left="0.78740157480314965" right="0.19685039370078741" top="0.19685039370078741" bottom="0.19685039370078741" header="0" footer="0"/>
  <pageSetup paperSize="9" scale="83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2023-08-22T03:47:17Z</cp:lastPrinted>
  <dcterms:created xsi:type="dcterms:W3CDTF">1996-10-08T23:32:33Z</dcterms:created>
  <dcterms:modified xsi:type="dcterms:W3CDTF">2023-12-27T12:22:43Z</dcterms:modified>
</cp:coreProperties>
</file>