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гай Расчет объ.2019" sheetId="1" r:id="rId1"/>
    <sheet name="расчет 2020" sheetId="2" r:id="rId2"/>
    <sheet name="расчет 2021" sheetId="3" r:id="rId3"/>
    <sheet name="2019" sheetId="4" r:id="rId4"/>
    <sheet name="2020" sheetId="5" r:id="rId5"/>
    <sheet name="2021" sheetId="6" r:id="rId6"/>
  </sheets>
  <definedNames>
    <definedName name="_ftnref1" localSheetId="0">'Мугай Расчет объ.2019'!#REF!</definedName>
    <definedName name="_ftnref2" localSheetId="0">'Мугай Расчет объ.2019'!#REF!</definedName>
    <definedName name="_xlnm.Print_Area" localSheetId="3">'2019'!$A$1:$Y$14</definedName>
    <definedName name="_xlnm.Print_Area" localSheetId="4">'2020'!$A$3:$Y$13</definedName>
    <definedName name="_xlnm.Print_Area" localSheetId="5">'2021'!$A$1:$Y$13</definedName>
    <definedName name="_xlnm.Print_Area" localSheetId="0">'Мугай Расчет объ.2019'!$A$1:$N$21</definedName>
  </definedNames>
  <calcPr fullCalcOnLoad="1"/>
</workbook>
</file>

<file path=xl/sharedStrings.xml><?xml version="1.0" encoding="utf-8"?>
<sst xmlns="http://schemas.openxmlformats.org/spreadsheetml/2006/main" count="186" uniqueCount="63">
  <si>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</si>
  <si>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</si>
  <si>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</si>
  <si>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</si>
  <si>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</si>
  <si>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</si>
  <si>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</si>
  <si>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</si>
  <si>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</si>
  <si>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</si>
  <si>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</si>
  <si>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</si>
  <si>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</si>
  <si>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</si>
  <si>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</si>
  <si>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</si>
  <si>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</si>
  <si>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</si>
  <si>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</si>
  <si>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</si>
  <si>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</si>
  <si>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</si>
  <si>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</si>
  <si>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</si>
  <si>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</si>
  <si>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</si>
  <si>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</si>
  <si>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</si>
  <si>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</si>
  <si>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</si>
  <si>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</si>
  <si>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</si>
  <si>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</si>
  <si>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</si>
  <si>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</si>
  <si>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</si>
  <si>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</si>
  <si>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</si>
  <si>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</si>
  <si>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</si>
  <si>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</si>
  <si>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</si>
  <si>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</si>
  <si>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</si>
  <si>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</si>
  <si>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</si>
  <si>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</si>
  <si>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</si>
  <si>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на 2019г.</t>
  </si>
  <si>
    <t>Распределение нормативных затрат  на 2020г.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</si>
  <si>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</si>
  <si>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</si>
  <si>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</si>
  <si>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</si>
  <si>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 xml:space="preserve">Нормативные затраты на оказание муниципальных услуг (выполнение работ) на 2021 год </t>
  </si>
  <si>
    <t>Отраслевой коэффициент</t>
  </si>
  <si>
    <t xml:space="preserve">Нормативные затраты на оказание  муниципальных услуг (выполнение работ) на 2019 год </t>
  </si>
  <si>
    <t xml:space="preserve">Нормативные затраты на оказание муниципальных услуг (выполнением работ) на 2020 год 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</si>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</sst>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/>
      <right/>
      <top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3" fontId="46" fillId="0" borderId="20" xfId="55" applyNumberFormat="1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3" fontId="39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172" fontId="39" fillId="0" borderId="21" xfId="0" applyNumberFormat="1" applyFont="1" applyBorder="1" applyAlignment="1">
      <alignment horizontal="center" vertical="center"/>
    </xf>
    <xf numFmtId="172" fontId="39" fillId="0" borderId="22" xfId="0" applyNumberFormat="1" applyFon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2" fontId="51" fillId="0" borderId="24" xfId="0" applyNumberFormat="1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2" fontId="51" fillId="0" borderId="15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3" fontId="46" fillId="0" borderId="25" xfId="55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72" fontId="39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top" wrapText="1"/>
    </xf>
    <xf numFmtId="2" fontId="51" fillId="0" borderId="28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" fontId="51" fillId="0" borderId="29" xfId="0" applyNumberFormat="1" applyFont="1" applyBorder="1" applyAlignment="1">
      <alignment horizontal="center" vertical="top" wrapText="1"/>
    </xf>
    <xf numFmtId="2" fontId="51" fillId="0" borderId="30" xfId="0" applyNumberFormat="1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173" fontId="26" fillId="0" borderId="20" xfId="55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1" fillId="0" borderId="31" xfId="0" applyNumberFormat="1" applyFont="1" applyBorder="1" applyAlignment="1">
      <alignment horizontal="center" vertical="top" wrapText="1"/>
    </xf>
    <xf numFmtId="0" fontId="51" fillId="0" borderId="15" xfId="0" applyNumberFormat="1" applyFont="1" applyBorder="1" applyAlignment="1">
      <alignment horizontal="center" vertical="top" wrapText="1"/>
    </xf>
    <xf numFmtId="0" fontId="56" fillId="0" borderId="15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1" fillId="0" borderId="23" xfId="0" applyNumberFormat="1" applyFont="1" applyBorder="1" applyAlignment="1">
      <alignment horizontal="center" vertical="top" wrapText="1"/>
    </xf>
    <xf numFmtId="0" fontId="51" fillId="0" borderId="28" xfId="0" applyNumberFormat="1" applyFont="1" applyBorder="1" applyAlignment="1">
      <alignment horizontal="center" vertical="top" wrapText="1"/>
    </xf>
    <xf numFmtId="0" fontId="51" fillId="0" borderId="32" xfId="0" applyNumberFormat="1" applyFont="1" applyBorder="1" applyAlignment="1">
      <alignment horizontal="center" vertical="top" wrapText="1"/>
    </xf>
    <xf numFmtId="0" fontId="58" fillId="0" borderId="27" xfId="0" applyNumberFormat="1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center" vertical="top" wrapText="1"/>
    </xf>
    <xf numFmtId="0" fontId="58" fillId="0" borderId="11" xfId="0" applyNumberFormat="1" applyFont="1" applyBorder="1" applyAlignment="1">
      <alignment horizontal="center" vertical="top" wrapText="1"/>
    </xf>
    <xf numFmtId="0" fontId="49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58" fillId="0" borderId="16" xfId="0" applyNumberFormat="1" applyFont="1" applyBorder="1" applyAlignment="1">
      <alignment horizontal="center" vertical="top" wrapText="1"/>
    </xf>
    <xf numFmtId="2" fontId="58" fillId="0" borderId="11" xfId="0" applyNumberFormat="1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58" fillId="0" borderId="34" xfId="0" applyNumberFormat="1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 wrapText="1"/>
    </xf>
    <xf numFmtId="0" fontId="58" fillId="0" borderId="35" xfId="0" applyNumberFormat="1" applyFont="1" applyBorder="1" applyAlignment="1">
      <alignment horizontal="center" vertical="top" wrapText="1"/>
    </xf>
    <xf numFmtId="0" fontId="58" fillId="0" borderId="36" xfId="0" applyNumberFormat="1" applyFont="1" applyBorder="1" applyAlignment="1">
      <alignment horizontal="center" vertical="top" wrapText="1"/>
    </xf>
    <xf numFmtId="0" fontId="58" fillId="0" borderId="37" xfId="0" applyNumberFormat="1" applyFont="1" applyBorder="1" applyAlignment="1">
      <alignment horizontal="center" vertical="top" wrapText="1"/>
    </xf>
    <xf numFmtId="0" fontId="58" fillId="0" borderId="32" xfId="0" applyNumberFormat="1" applyFont="1" applyBorder="1" applyAlignment="1">
      <alignment horizontal="center" vertical="top" wrapText="1"/>
    </xf>
    <xf numFmtId="0" fontId="58" fillId="0" borderId="38" xfId="0" applyNumberFormat="1" applyFont="1" applyBorder="1" applyAlignment="1">
      <alignment horizontal="center" vertical="top" wrapText="1"/>
    </xf>
    <xf numFmtId="0" fontId="58" fillId="0" borderId="39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58" fillId="0" borderId="40" xfId="0" applyNumberFormat="1" applyFont="1" applyBorder="1" applyAlignment="1">
      <alignment horizontal="center" vertical="top" wrapText="1"/>
    </xf>
    <xf numFmtId="0" fontId="58" fillId="0" borderId="41" xfId="0" applyNumberFormat="1" applyFont="1" applyBorder="1" applyAlignment="1">
      <alignment horizontal="center" vertical="top" wrapText="1"/>
    </xf>
    <xf numFmtId="0" fontId="58" fillId="0" borderId="13" xfId="0" applyNumberFormat="1" applyFont="1" applyBorder="1" applyAlignment="1">
      <alignment horizontal="center" vertical="top" wrapText="1"/>
    </xf>
    <xf numFmtId="0" fontId="58" fillId="0" borderId="28" xfId="0" applyNumberFormat="1" applyFont="1" applyBorder="1" applyAlignment="1">
      <alignment horizontal="center" vertical="top" wrapText="1"/>
    </xf>
    <xf numFmtId="0" fontId="58" fillId="0" borderId="42" xfId="0" applyNumberFormat="1" applyFont="1" applyBorder="1" applyAlignment="1">
      <alignment horizontal="center" vertical="top" wrapText="1"/>
    </xf>
    <xf numFmtId="0" fontId="58" fillId="0" borderId="24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9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12" sqref="B12:B14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58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>
      <c r="A3" s="83" t="s">
        <v>56</v>
      </c>
      <c r="B3" s="84"/>
      <c r="C3" s="84"/>
      <c r="D3" s="84"/>
      <c r="E3" s="84"/>
      <c r="F3" s="84"/>
      <c r="G3" s="84"/>
      <c r="H3" s="84"/>
      <c r="I3" s="84"/>
    </row>
    <row r="4" spans="1:9" ht="49.5" customHeight="1" thickBot="1">
      <c r="A4" s="78"/>
      <c r="B4" s="78"/>
      <c r="C4" s="78"/>
      <c r="D4" s="78"/>
      <c r="E4" s="78"/>
      <c r="F4" s="78"/>
      <c r="G4" s="78"/>
      <c r="H4" s="78"/>
      <c r="I4" s="78"/>
    </row>
    <row r="5" spans="1:9" ht="93" customHeight="1" thickBot="1">
      <c r="A5" s="74" t="s">
        <v>6</v>
      </c>
      <c r="B5" s="2" t="s">
        <v>42</v>
      </c>
      <c r="C5" s="2" t="s">
        <v>41</v>
      </c>
      <c r="D5" s="2" t="s">
        <v>51</v>
      </c>
      <c r="E5" s="2" t="s">
        <v>55</v>
      </c>
      <c r="F5" s="2" t="s">
        <v>40</v>
      </c>
      <c r="G5" s="2" t="s">
        <v>10</v>
      </c>
      <c r="H5" s="2" t="s">
        <v>11</v>
      </c>
      <c r="I5" s="2" t="s">
        <v>53</v>
      </c>
    </row>
    <row r="6" spans="1:9" ht="30.75" thickBot="1">
      <c r="A6" s="7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3730.1/G8</f>
        <v>60.16290322580645</v>
      </c>
      <c r="C8" s="39">
        <f>7230/G8</f>
        <v>116.61290322580645</v>
      </c>
      <c r="D8" s="64">
        <v>1</v>
      </c>
      <c r="E8" s="64">
        <v>1</v>
      </c>
      <c r="F8" s="39">
        <f>B8+C8</f>
        <v>176.7758064516129</v>
      </c>
      <c r="G8" s="40">
        <f>'2019'!C9</f>
        <v>62</v>
      </c>
      <c r="H8" s="40">
        <v>1498.8</v>
      </c>
      <c r="I8" s="41">
        <f>(F8*G8)+H8</f>
        <v>12458.9</v>
      </c>
    </row>
    <row r="9" spans="1:9" ht="44.25" customHeight="1" thickBot="1">
      <c r="A9" s="11" t="s">
        <v>13</v>
      </c>
      <c r="B9" s="37">
        <f>6553.3/G9</f>
        <v>109.22166666666666</v>
      </c>
      <c r="C9" s="37">
        <f>6996.8/G9</f>
        <v>116.61333333333333</v>
      </c>
      <c r="D9" s="68">
        <v>1</v>
      </c>
      <c r="E9" s="63">
        <v>1</v>
      </c>
      <c r="F9" s="39">
        <f>B9+C9</f>
        <v>225.83499999999998</v>
      </c>
      <c r="G9" s="38">
        <f>'2019'!C10</f>
        <v>60</v>
      </c>
      <c r="H9" s="38">
        <v>1450.4</v>
      </c>
      <c r="I9" s="41">
        <f>(F9*G9)+H9</f>
        <v>15000.499999999998</v>
      </c>
    </row>
    <row r="10" spans="1:9" ht="33" customHeight="1" thickBot="1">
      <c r="A10" s="48" t="s">
        <v>36</v>
      </c>
      <c r="B10" s="49">
        <f>241.2/G10</f>
        <v>3.7107692307692304</v>
      </c>
      <c r="C10" s="49">
        <v>0</v>
      </c>
      <c r="D10" s="69">
        <v>1</v>
      </c>
      <c r="E10" s="70">
        <v>1</v>
      </c>
      <c r="F10" s="50">
        <f>B10+C10</f>
        <v>3.7107692307692304</v>
      </c>
      <c r="G10" s="51">
        <f>'2019'!C11</f>
        <v>65</v>
      </c>
      <c r="H10" s="51">
        <v>0</v>
      </c>
      <c r="I10" s="52">
        <f>(F10*G10)+H10</f>
        <v>241.2</v>
      </c>
    </row>
    <row r="11" spans="1:9" ht="33" customHeight="1" thickBot="1">
      <c r="A11" s="12" t="s">
        <v>37</v>
      </c>
      <c r="B11" s="53">
        <f>679.3/G11</f>
        <v>6.348598130841121</v>
      </c>
      <c r="C11" s="35">
        <v>0</v>
      </c>
      <c r="D11" s="68">
        <v>1</v>
      </c>
      <c r="E11" s="63">
        <v>1</v>
      </c>
      <c r="F11" s="39">
        <f>B11+C11</f>
        <v>6.348598130841121</v>
      </c>
      <c r="G11" s="36">
        <f>'2019'!C12</f>
        <v>107</v>
      </c>
      <c r="H11" s="36">
        <v>0</v>
      </c>
      <c r="I11" s="41">
        <f>(F11*G11)+H11</f>
        <v>679.3</v>
      </c>
    </row>
    <row r="12" spans="1:9" ht="15">
      <c r="A12" s="11" t="s">
        <v>0</v>
      </c>
      <c r="B12" s="76">
        <f>B8+B9+B10+B11</f>
        <v>179.44393725408347</v>
      </c>
      <c r="C12" s="76">
        <f>C8+C9+C10+C11</f>
        <v>233.22623655913978</v>
      </c>
      <c r="D12" s="71">
        <v>1</v>
      </c>
      <c r="E12" s="71">
        <v>1</v>
      </c>
      <c r="F12" s="76">
        <f>F8+F9+F10+F11</f>
        <v>412.6701738132233</v>
      </c>
      <c r="G12" s="76">
        <v>122</v>
      </c>
      <c r="H12" s="76">
        <f>H8+H9+H10+H11</f>
        <v>2949.2</v>
      </c>
      <c r="I12" s="76">
        <f>I8+I9+I10+I11</f>
        <v>28379.899999999998</v>
      </c>
    </row>
    <row r="13" spans="1:9" ht="15">
      <c r="A13" s="11" t="s">
        <v>1</v>
      </c>
      <c r="B13" s="76"/>
      <c r="C13" s="76"/>
      <c r="D13" s="72"/>
      <c r="E13" s="72"/>
      <c r="F13" s="76"/>
      <c r="G13" s="76"/>
      <c r="H13" s="76"/>
      <c r="I13" s="76"/>
    </row>
    <row r="14" spans="1:9" ht="15.75" thickBot="1">
      <c r="A14" s="10" t="s">
        <v>2</v>
      </c>
      <c r="B14" s="77"/>
      <c r="C14" s="77"/>
      <c r="D14" s="73"/>
      <c r="E14" s="73"/>
      <c r="F14" s="77"/>
      <c r="G14" s="77"/>
      <c r="H14" s="77"/>
      <c r="I14" s="77"/>
    </row>
    <row r="15" ht="15">
      <c r="A15" s="1"/>
    </row>
    <row r="18" ht="16.5">
      <c r="A18" s="5" t="s">
        <v>3</v>
      </c>
    </row>
    <row r="19" spans="1:14" ht="41.25" customHeight="1">
      <c r="A19" s="81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</sheetData>
  <sheetProtection/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59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>
      <c r="A3" s="83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49.5" customHeight="1" thickBot="1">
      <c r="A4" s="59"/>
      <c r="B4" s="60"/>
      <c r="C4" s="60"/>
      <c r="D4" s="62"/>
      <c r="E4" s="62"/>
      <c r="F4" s="60"/>
      <c r="G4" s="60"/>
      <c r="H4" s="60"/>
      <c r="I4" s="60"/>
    </row>
    <row r="5" spans="1:9" ht="93" customHeight="1" thickBot="1">
      <c r="A5" s="74" t="s">
        <v>6</v>
      </c>
      <c r="B5" s="2" t="s">
        <v>43</v>
      </c>
      <c r="C5" s="2" t="s">
        <v>44</v>
      </c>
      <c r="D5" s="2" t="s">
        <v>51</v>
      </c>
      <c r="E5" s="2" t="s">
        <v>55</v>
      </c>
      <c r="F5" s="2" t="s">
        <v>45</v>
      </c>
      <c r="G5" s="2" t="s">
        <v>10</v>
      </c>
      <c r="H5" s="2" t="s">
        <v>11</v>
      </c>
      <c r="I5" s="2" t="s">
        <v>53</v>
      </c>
    </row>
    <row r="6" spans="1:9" ht="30.75" thickBot="1">
      <c r="A6" s="7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4298.4/G8</f>
        <v>74.1103448275862</v>
      </c>
      <c r="C8" s="39">
        <f>5952/G8</f>
        <v>102.62068965517241</v>
      </c>
      <c r="D8" s="64">
        <v>1</v>
      </c>
      <c r="E8" s="64">
        <v>1</v>
      </c>
      <c r="F8" s="39">
        <f>B8+C8</f>
        <v>176.73103448275862</v>
      </c>
      <c r="G8" s="40">
        <f>'2020'!C8</f>
        <v>58</v>
      </c>
      <c r="H8" s="40">
        <v>1606</v>
      </c>
      <c r="I8" s="41">
        <f>(F8*G8)+H8</f>
        <v>11856.4</v>
      </c>
    </row>
    <row r="9" spans="1:9" ht="44.25" customHeight="1" thickBot="1">
      <c r="A9" s="11" t="s">
        <v>13</v>
      </c>
      <c r="B9" s="37">
        <f>7843.7/G9</f>
        <v>147.99433962264152</v>
      </c>
      <c r="C9" s="37">
        <f>5438.9/G9</f>
        <v>102.62075471698112</v>
      </c>
      <c r="D9" s="64">
        <v>1</v>
      </c>
      <c r="E9" s="64">
        <v>1</v>
      </c>
      <c r="F9" s="39">
        <f>B9+C9</f>
        <v>250.61509433962266</v>
      </c>
      <c r="G9" s="38">
        <f>'2020'!C9</f>
        <v>53</v>
      </c>
      <c r="H9" s="38">
        <v>1467.6</v>
      </c>
      <c r="I9" s="41">
        <f>(F9*G9)+H9</f>
        <v>14750.2</v>
      </c>
    </row>
    <row r="10" spans="1:9" ht="33" customHeight="1" thickBot="1">
      <c r="A10" s="48" t="s">
        <v>36</v>
      </c>
      <c r="B10" s="49">
        <f>312.9/G10</f>
        <v>4.966666666666666</v>
      </c>
      <c r="C10" s="49">
        <v>0</v>
      </c>
      <c r="D10" s="64">
        <v>1</v>
      </c>
      <c r="E10" s="64">
        <v>1</v>
      </c>
      <c r="F10" s="50">
        <f>B10+C10</f>
        <v>4.966666666666666</v>
      </c>
      <c r="G10" s="51">
        <f>'2020'!C10</f>
        <v>63</v>
      </c>
      <c r="H10" s="51">
        <v>0</v>
      </c>
      <c r="I10" s="52">
        <f>(F10*G10)+H10</f>
        <v>312.9</v>
      </c>
    </row>
    <row r="11" spans="1:9" ht="33" customHeight="1" thickBot="1">
      <c r="A11" s="12" t="s">
        <v>37</v>
      </c>
      <c r="B11" s="35">
        <f>909.3/G11</f>
        <v>9.57157894736842</v>
      </c>
      <c r="C11" s="35">
        <v>0</v>
      </c>
      <c r="D11" s="64">
        <v>1</v>
      </c>
      <c r="E11" s="64">
        <v>1</v>
      </c>
      <c r="F11" s="39">
        <f>B11+C11</f>
        <v>9.57157894736842</v>
      </c>
      <c r="G11" s="55">
        <f>'2020'!C11</f>
        <v>95</v>
      </c>
      <c r="H11" s="56">
        <v>0</v>
      </c>
      <c r="I11" s="41">
        <f>(F11*G11)+H11</f>
        <v>909.3</v>
      </c>
    </row>
    <row r="12" spans="1:9" ht="15">
      <c r="A12" s="11" t="s">
        <v>0</v>
      </c>
      <c r="B12" s="76">
        <v>120.4</v>
      </c>
      <c r="C12" s="76">
        <v>102.62</v>
      </c>
      <c r="D12" s="87">
        <v>1</v>
      </c>
      <c r="E12" s="90">
        <v>1</v>
      </c>
      <c r="F12" s="85">
        <v>223.02</v>
      </c>
      <c r="G12" s="76">
        <v>111</v>
      </c>
      <c r="H12" s="76">
        <f>H8+H9+H10</f>
        <v>3073.6</v>
      </c>
      <c r="I12" s="76">
        <f>I8+I9+I10+I11</f>
        <v>27828.8</v>
      </c>
    </row>
    <row r="13" spans="1:9" ht="15">
      <c r="A13" s="11" t="s">
        <v>1</v>
      </c>
      <c r="B13" s="76"/>
      <c r="C13" s="76"/>
      <c r="D13" s="88"/>
      <c r="E13" s="91"/>
      <c r="F13" s="85"/>
      <c r="G13" s="76"/>
      <c r="H13" s="76"/>
      <c r="I13" s="76"/>
    </row>
    <row r="14" spans="1:9" ht="15.75" thickBot="1">
      <c r="A14" s="10" t="s">
        <v>2</v>
      </c>
      <c r="B14" s="77"/>
      <c r="C14" s="77"/>
      <c r="D14" s="89"/>
      <c r="E14" s="92"/>
      <c r="F14" s="86"/>
      <c r="G14" s="77"/>
      <c r="H14" s="77"/>
      <c r="I14" s="77"/>
    </row>
    <row r="15" ht="15">
      <c r="A15" s="1"/>
    </row>
    <row r="18" ht="16.5">
      <c r="A18" s="5" t="s">
        <v>3</v>
      </c>
    </row>
    <row r="19" spans="1:14" ht="41.25" customHeight="1">
      <c r="A19" s="81" t="s">
        <v>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</sheetData>
  <sheetProtection/>
  <mergeCells count="13">
    <mergeCell ref="D12:D14"/>
    <mergeCell ref="E12:E14"/>
    <mergeCell ref="I12:I14"/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</mergeCells>
  <printOptions/>
  <pageMargins left="0.7" right="0.7" top="0.75" bottom="0.75" header="0.3" footer="0.3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79" t="s">
        <v>60</v>
      </c>
      <c r="I1" s="80"/>
    </row>
    <row r="2" spans="1:9" ht="18.75">
      <c r="A2" s="82" t="s">
        <v>38</v>
      </c>
      <c r="B2" s="82"/>
      <c r="C2" s="82"/>
      <c r="D2" s="82"/>
      <c r="E2" s="82"/>
      <c r="F2" s="82"/>
      <c r="G2" s="82"/>
      <c r="H2" s="82"/>
      <c r="I2" s="82"/>
    </row>
    <row r="3" spans="1:9" ht="49.5" customHeight="1" thickBot="1">
      <c r="A3" s="78" t="s">
        <v>54</v>
      </c>
      <c r="B3" s="93"/>
      <c r="C3" s="93"/>
      <c r="D3" s="93"/>
      <c r="E3" s="93"/>
      <c r="F3" s="93"/>
      <c r="G3" s="93"/>
      <c r="H3" s="93"/>
      <c r="I3" s="93"/>
    </row>
    <row r="4" spans="1:9" ht="93" customHeight="1" thickBot="1">
      <c r="A4" s="74" t="s">
        <v>6</v>
      </c>
      <c r="B4" s="2" t="s">
        <v>43</v>
      </c>
      <c r="C4" s="2" t="s">
        <v>44</v>
      </c>
      <c r="D4" s="2" t="s">
        <v>51</v>
      </c>
      <c r="E4" s="2" t="s">
        <v>52</v>
      </c>
      <c r="F4" s="2" t="s">
        <v>45</v>
      </c>
      <c r="G4" s="2" t="s">
        <v>10</v>
      </c>
      <c r="H4" s="2" t="s">
        <v>11</v>
      </c>
      <c r="I4" s="2" t="s">
        <v>53</v>
      </c>
    </row>
    <row r="5" spans="1:9" ht="32.25" thickBot="1">
      <c r="A5" s="75"/>
      <c r="B5" s="65" t="s">
        <v>7</v>
      </c>
      <c r="C5" s="66" t="s">
        <v>7</v>
      </c>
      <c r="D5" s="66"/>
      <c r="E5" s="66"/>
      <c r="F5" s="66" t="s">
        <v>7</v>
      </c>
      <c r="G5" s="67" t="s">
        <v>8</v>
      </c>
      <c r="H5" s="67" t="s">
        <v>9</v>
      </c>
      <c r="I5" s="67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4471.4/G7</f>
        <v>77.09310344827585</v>
      </c>
      <c r="C7" s="39">
        <f>6089.3/G7</f>
        <v>104.98793103448276</v>
      </c>
      <c r="D7" s="63">
        <v>1</v>
      </c>
      <c r="E7" s="63">
        <v>1</v>
      </c>
      <c r="F7" s="39">
        <f>B7+C7</f>
        <v>182.0810344827586</v>
      </c>
      <c r="G7" s="40">
        <f>'2021'!C8</f>
        <v>58</v>
      </c>
      <c r="H7" s="40">
        <v>1585.3</v>
      </c>
      <c r="I7" s="41">
        <f>(F7*G7)+H7</f>
        <v>12145.999999999998</v>
      </c>
    </row>
    <row r="8" spans="1:9" ht="44.25" customHeight="1" thickBot="1">
      <c r="A8" s="11" t="s">
        <v>13</v>
      </c>
      <c r="B8" s="37">
        <f>8167.4/G8</f>
        <v>145.84642857142856</v>
      </c>
      <c r="C8" s="37">
        <f>5879.3/G8</f>
        <v>104.9875</v>
      </c>
      <c r="D8" s="63">
        <v>1</v>
      </c>
      <c r="E8" s="63">
        <v>1</v>
      </c>
      <c r="F8" s="39">
        <f>B8+C8</f>
        <v>250.83392857142854</v>
      </c>
      <c r="G8" s="38">
        <f>'2021'!C9</f>
        <v>56</v>
      </c>
      <c r="H8" s="38">
        <v>1530.7</v>
      </c>
      <c r="I8" s="41">
        <v>15577.3</v>
      </c>
    </row>
    <row r="9" spans="1:9" ht="33" customHeight="1" thickBot="1">
      <c r="A9" s="12" t="s">
        <v>36</v>
      </c>
      <c r="B9" s="35">
        <f>327.8/G9</f>
        <v>5.463333333333334</v>
      </c>
      <c r="C9" s="35">
        <v>0</v>
      </c>
      <c r="D9" s="63">
        <v>1</v>
      </c>
      <c r="E9" s="63">
        <v>1</v>
      </c>
      <c r="F9" s="39">
        <f>B9+C9</f>
        <v>5.463333333333334</v>
      </c>
      <c r="G9" s="36">
        <f>'2021'!C10</f>
        <v>60</v>
      </c>
      <c r="H9" s="36">
        <v>0</v>
      </c>
      <c r="I9" s="41">
        <f>(F9*G9)+H9</f>
        <v>327.8</v>
      </c>
    </row>
    <row r="10" spans="1:9" ht="33" customHeight="1" thickBot="1">
      <c r="A10" s="12" t="s">
        <v>37</v>
      </c>
      <c r="B10" s="35">
        <f>909.3/G10</f>
        <v>9.278571428571428</v>
      </c>
      <c r="C10" s="54">
        <v>0</v>
      </c>
      <c r="D10" s="68">
        <v>1</v>
      </c>
      <c r="E10" s="63">
        <v>1</v>
      </c>
      <c r="F10" s="39">
        <f>B10+C10</f>
        <v>9.278571428571428</v>
      </c>
      <c r="G10" s="55">
        <f>'2021'!C11</f>
        <v>98</v>
      </c>
      <c r="H10" s="56">
        <v>0</v>
      </c>
      <c r="I10" s="41">
        <f>(F10*G10)+H10</f>
        <v>909.3</v>
      </c>
    </row>
    <row r="11" spans="1:9" ht="15">
      <c r="A11" s="11" t="s">
        <v>0</v>
      </c>
      <c r="B11" s="76">
        <v>121.71</v>
      </c>
      <c r="C11" s="76">
        <v>104.99</v>
      </c>
      <c r="D11" s="94">
        <v>1</v>
      </c>
      <c r="E11" s="97">
        <v>1</v>
      </c>
      <c r="F11" s="85">
        <v>226.7</v>
      </c>
      <c r="G11" s="76">
        <v>114</v>
      </c>
      <c r="H11" s="76">
        <f>H7+H8+H9+H10</f>
        <v>3116</v>
      </c>
      <c r="I11" s="76">
        <f>I7+I8+I9+I10</f>
        <v>28960.399999999994</v>
      </c>
    </row>
    <row r="12" spans="1:9" ht="15">
      <c r="A12" s="11" t="s">
        <v>1</v>
      </c>
      <c r="B12" s="76"/>
      <c r="C12" s="76"/>
      <c r="D12" s="95"/>
      <c r="E12" s="98"/>
      <c r="F12" s="85"/>
      <c r="G12" s="76"/>
      <c r="H12" s="76"/>
      <c r="I12" s="76"/>
    </row>
    <row r="13" spans="1:9" ht="15.75" thickBot="1">
      <c r="A13" s="10" t="s">
        <v>2</v>
      </c>
      <c r="B13" s="77"/>
      <c r="C13" s="77"/>
      <c r="D13" s="96"/>
      <c r="E13" s="99"/>
      <c r="F13" s="86"/>
      <c r="G13" s="77"/>
      <c r="H13" s="77"/>
      <c r="I13" s="77"/>
    </row>
    <row r="14" ht="15">
      <c r="A14" s="1"/>
    </row>
    <row r="17" ht="16.5">
      <c r="A17" s="5" t="s">
        <v>3</v>
      </c>
    </row>
    <row r="18" spans="1:14" ht="41.25" customHeight="1">
      <c r="A18" s="81" t="s">
        <v>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</sheetData>
  <sheetProtection/>
  <mergeCells count="13">
    <mergeCell ref="D11:D13"/>
    <mergeCell ref="E11:E13"/>
    <mergeCell ref="I11:I13"/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8.75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7"/>
      <c r="T4" s="57"/>
      <c r="U4" s="57"/>
      <c r="V4" s="57"/>
      <c r="W4" s="57"/>
      <c r="X4" s="57"/>
      <c r="Y4" s="57"/>
    </row>
    <row r="5" spans="1:25" ht="18.75">
      <c r="A5" s="100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01" t="s">
        <v>11</v>
      </c>
      <c r="V7" s="102"/>
      <c r="W7" s="102"/>
      <c r="X7" s="102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15"/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8">
        <f>C9*100/122/100</f>
        <v>0.5081967213114754</v>
      </c>
      <c r="C9" s="20">
        <v>62</v>
      </c>
      <c r="D9" s="21">
        <f>3949.7-500+100</f>
        <v>3549.7</v>
      </c>
      <c r="E9" s="21"/>
      <c r="F9" s="21"/>
      <c r="G9" s="22"/>
      <c r="H9" s="22">
        <f>H15*B9</f>
        <v>165.77377049180328</v>
      </c>
      <c r="I9" s="22">
        <f>I15*B9</f>
        <v>14.636065573770493</v>
      </c>
      <c r="J9" s="22"/>
      <c r="K9" s="23">
        <f>SUM(D9:J9)</f>
        <v>3730.1098360655733</v>
      </c>
      <c r="L9" s="22">
        <f>L15*B9</f>
        <v>3105.8645901639347</v>
      </c>
      <c r="M9" s="22">
        <f>M15*B9</f>
        <v>6.0983606557377055</v>
      </c>
      <c r="N9" s="22">
        <f>N15*B9</f>
        <v>205.1590163934426</v>
      </c>
      <c r="O9" s="21">
        <f>O15*B9</f>
        <v>1474.4819672131148</v>
      </c>
      <c r="P9" s="22">
        <f>P15*B9</f>
        <v>23.37704918032787</v>
      </c>
      <c r="Q9" s="22">
        <f>Q15*B9</f>
        <v>2084.1096721311474</v>
      </c>
      <c r="R9" s="22">
        <f>R15*B9</f>
        <v>116.88524590163935</v>
      </c>
      <c r="S9" s="22">
        <f>S15*B9</f>
        <v>214.05245901639344</v>
      </c>
      <c r="T9" s="23">
        <f>SUM(L9:S9)</f>
        <v>7230.028360655739</v>
      </c>
      <c r="U9" s="22">
        <f>U15*B9</f>
        <v>22.767213114754096</v>
      </c>
      <c r="V9" s="21">
        <f>V15*B9</f>
        <v>1474.4819672131148</v>
      </c>
      <c r="W9" s="30">
        <f>W15*B9</f>
        <v>1.5245901639344264</v>
      </c>
      <c r="X9" s="28">
        <f>SUM(U9:W9)</f>
        <v>1498.7737704918031</v>
      </c>
      <c r="Y9" s="29">
        <f>K9+T9+X9</f>
        <v>12458.911967213116</v>
      </c>
    </row>
    <row r="10" spans="1:25" ht="51.75" thickBot="1">
      <c r="A10" s="11" t="s">
        <v>13</v>
      </c>
      <c r="B10" s="58">
        <f>C10*100/122/100</f>
        <v>0.4918032786885246</v>
      </c>
      <c r="C10" s="20">
        <v>60</v>
      </c>
      <c r="D10" s="21">
        <f>7340.1-1250+250</f>
        <v>6340.1</v>
      </c>
      <c r="E10" s="21"/>
      <c r="F10" s="21">
        <v>38.61</v>
      </c>
      <c r="G10" s="22"/>
      <c r="H10" s="22">
        <f>H15*B10</f>
        <v>160.4262295081967</v>
      </c>
      <c r="I10" s="22">
        <f>I15*B10</f>
        <v>14.163934426229508</v>
      </c>
      <c r="J10" s="22"/>
      <c r="K10" s="23">
        <f>SUM(D10:J10)</f>
        <v>6553.300163934427</v>
      </c>
      <c r="L10" s="22">
        <f>L15*B10</f>
        <v>3005.675409836066</v>
      </c>
      <c r="M10" s="22">
        <f>M15*B10</f>
        <v>5.9016393442622945</v>
      </c>
      <c r="N10" s="22">
        <f>N15*B10</f>
        <v>198.54098360655738</v>
      </c>
      <c r="O10" s="21">
        <f>O15*B10</f>
        <v>1426.9180327868853</v>
      </c>
      <c r="P10" s="22">
        <f>P15*B10</f>
        <v>22.62295081967213</v>
      </c>
      <c r="Q10" s="22">
        <f>Q15*B10</f>
        <v>2016.8803278688524</v>
      </c>
      <c r="R10" s="22">
        <f>R15*B10</f>
        <v>113.11475409836065</v>
      </c>
      <c r="S10" s="22">
        <f>S15*B10</f>
        <v>207.14754098360655</v>
      </c>
      <c r="T10" s="23">
        <f>SUM(L10:S10)</f>
        <v>6996.801639344262</v>
      </c>
      <c r="U10" s="22">
        <f>U15*B10</f>
        <v>22.0327868852459</v>
      </c>
      <c r="V10" s="21">
        <f>V15*B10</f>
        <v>1426.9180327868853</v>
      </c>
      <c r="W10" s="30">
        <f>W15*B10</f>
        <v>1.4754098360655736</v>
      </c>
      <c r="X10" s="28">
        <f>SUM(U10:W10)</f>
        <v>1450.426229508197</v>
      </c>
      <c r="Y10" s="29">
        <f>K10+T10+X10</f>
        <v>15000.528032786886</v>
      </c>
    </row>
    <row r="11" spans="1:25" ht="39" thickBot="1">
      <c r="A11" s="12" t="s">
        <v>35</v>
      </c>
      <c r="B11" s="19"/>
      <c r="C11" s="20">
        <v>65</v>
      </c>
      <c r="D11" s="21"/>
      <c r="E11" s="21"/>
      <c r="F11" s="21"/>
      <c r="G11" s="22">
        <f>220.2-30.9</f>
        <v>189.29999999999998</v>
      </c>
      <c r="H11" s="21">
        <v>51.9</v>
      </c>
      <c r="I11" s="22"/>
      <c r="J11" s="22"/>
      <c r="K11" s="23">
        <f>SUM(D11:J11)</f>
        <v>241.2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241.2</v>
      </c>
    </row>
    <row r="12" spans="1:25" ht="30.75" customHeight="1" thickBot="1">
      <c r="A12" s="12" t="s">
        <v>37</v>
      </c>
      <c r="B12" s="45"/>
      <c r="C12" s="20">
        <v>107</v>
      </c>
      <c r="D12" s="34"/>
      <c r="E12" s="34"/>
      <c r="F12" s="34"/>
      <c r="G12" s="22">
        <f>909.3+66-212.5+27.7-61.2-50</f>
        <v>679.3</v>
      </c>
      <c r="H12" s="34"/>
      <c r="I12" s="22"/>
      <c r="J12" s="22"/>
      <c r="K12" s="23">
        <f>SUM(D12:J12)</f>
        <v>679.3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679.3</v>
      </c>
    </row>
    <row r="13" spans="1:25" s="13" customFormat="1" ht="15.75" thickBot="1">
      <c r="A13" s="46" t="s">
        <v>22</v>
      </c>
      <c r="B13" s="25">
        <f>B9+B10+B11</f>
        <v>1</v>
      </c>
      <c r="C13" s="20">
        <v>122</v>
      </c>
      <c r="D13" s="24">
        <f>SUM(D9:D11)</f>
        <v>9889.8</v>
      </c>
      <c r="E13" s="24">
        <f>SUM(E9:E11)</f>
        <v>0</v>
      </c>
      <c r="F13" s="24">
        <f>SUM(F9:F11)</f>
        <v>38.61</v>
      </c>
      <c r="G13" s="23">
        <f>SUM(G9:G12)</f>
        <v>868.5999999999999</v>
      </c>
      <c r="H13" s="24">
        <f>SUM(H9:H11)</f>
        <v>378.09999999999997</v>
      </c>
      <c r="I13" s="24">
        <f>SUM(I9:I11)</f>
        <v>28.8</v>
      </c>
      <c r="J13" s="24">
        <f>SUM(J9:J11)</f>
        <v>0</v>
      </c>
      <c r="K13" s="23">
        <f>SUM(K9:K12)</f>
        <v>11203.91</v>
      </c>
      <c r="L13" s="24">
        <f aca="true" t="shared" si="0" ref="L13:X13">SUM(L9:L11)</f>
        <v>6111.540000000001</v>
      </c>
      <c r="M13" s="24">
        <f t="shared" si="0"/>
        <v>12</v>
      </c>
      <c r="N13" s="24">
        <f t="shared" si="0"/>
        <v>403.7</v>
      </c>
      <c r="O13" s="24">
        <f>SUM(O9:O11)</f>
        <v>2901.4</v>
      </c>
      <c r="P13" s="24">
        <f t="shared" si="0"/>
        <v>46</v>
      </c>
      <c r="Q13" s="24">
        <f t="shared" si="0"/>
        <v>4100.99</v>
      </c>
      <c r="R13" s="24">
        <f t="shared" si="0"/>
        <v>230</v>
      </c>
      <c r="S13" s="24">
        <f t="shared" si="0"/>
        <v>421.2</v>
      </c>
      <c r="T13" s="23">
        <f t="shared" si="0"/>
        <v>14226.830000000002</v>
      </c>
      <c r="U13" s="24">
        <f t="shared" si="0"/>
        <v>44.8</v>
      </c>
      <c r="V13" s="24">
        <f t="shared" si="0"/>
        <v>2901.4</v>
      </c>
      <c r="W13" s="24">
        <f t="shared" si="0"/>
        <v>3</v>
      </c>
      <c r="X13" s="28">
        <f t="shared" si="0"/>
        <v>2949.2</v>
      </c>
      <c r="Y13" s="47">
        <f>SUM(Y9:Y12)</f>
        <v>28379.940000000002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/>
      <c r="C15" s="26"/>
      <c r="D15" s="26"/>
      <c r="E15" s="26"/>
      <c r="F15" s="26">
        <v>38.61</v>
      </c>
      <c r="G15" s="26">
        <v>325.8</v>
      </c>
      <c r="H15" s="26">
        <f>311.2+15</f>
        <v>326.2</v>
      </c>
      <c r="I15" s="26">
        <v>28.8</v>
      </c>
      <c r="J15" s="26"/>
      <c r="K15" s="26"/>
      <c r="L15" s="26">
        <f>6738.1-25.5-717.7-297-278.3-84+594.84+181.1</f>
        <v>6111.540000000001</v>
      </c>
      <c r="M15" s="26">
        <v>12</v>
      </c>
      <c r="N15" s="31">
        <v>403.7</v>
      </c>
      <c r="O15" s="31">
        <v>2901.4</v>
      </c>
      <c r="P15" s="31">
        <v>46</v>
      </c>
      <c r="Q15" s="31">
        <f>4104-3.01</f>
        <v>4100.99</v>
      </c>
      <c r="R15" s="31">
        <v>230</v>
      </c>
      <c r="S15" s="26">
        <v>421.2</v>
      </c>
      <c r="T15" s="26"/>
      <c r="U15" s="31">
        <v>44.8</v>
      </c>
      <c r="V15" s="31">
        <v>2901.4</v>
      </c>
      <c r="W15" s="26">
        <v>3</v>
      </c>
      <c r="X15" s="26"/>
      <c r="Y15" s="27"/>
    </row>
    <row r="16" ht="15">
      <c r="D16">
        <f>D13+L15</f>
        <v>16001.34</v>
      </c>
    </row>
    <row r="17" ht="15">
      <c r="Y17" s="13">
        <v>27712.5</v>
      </c>
    </row>
    <row r="18" spans="17:25" ht="15">
      <c r="Q18" t="s">
        <v>31</v>
      </c>
      <c r="Y18" s="13">
        <f>Y17-Y13</f>
        <v>-667.4400000000023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D7:K7"/>
    <mergeCell ref="L7:T7"/>
    <mergeCell ref="A4:R4"/>
    <mergeCell ref="A2:Y2"/>
    <mergeCell ref="A3:Y3"/>
    <mergeCell ref="U7:X7"/>
    <mergeCell ref="A1:Y1"/>
    <mergeCell ref="A5:Y5"/>
    <mergeCell ref="A7:A8"/>
    <mergeCell ref="B7:B8"/>
    <mergeCell ref="C7:C8"/>
    <mergeCell ref="Y7:Y8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C1">
      <selection activeCell="T14" sqref="T14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1" customFormat="1" ht="1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="114" customFormat="1" ht="15">
      <c r="A2" s="114" t="s">
        <v>46</v>
      </c>
    </row>
    <row r="3" spans="1:25" s="61" customFormat="1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61" customFormat="1" ht="18.75">
      <c r="A4" s="100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C8*100/111/100</f>
        <v>0.5225225225225225</v>
      </c>
      <c r="C8" s="20">
        <v>58</v>
      </c>
      <c r="D8" s="32">
        <v>4107.7</v>
      </c>
      <c r="E8" s="32"/>
      <c r="F8" s="32"/>
      <c r="G8" s="22"/>
      <c r="H8" s="22">
        <f>H14*B8</f>
        <v>175.93333333333334</v>
      </c>
      <c r="I8" s="22">
        <f>I14*B8</f>
        <v>14.787387387387387</v>
      </c>
      <c r="J8" s="22"/>
      <c r="K8" s="23">
        <f>SUM(D8:J8)</f>
        <v>4298.420720720721</v>
      </c>
      <c r="L8" s="22">
        <f>L14*B8</f>
        <v>3671.2954954954957</v>
      </c>
      <c r="M8" s="22">
        <f>M14*B8</f>
        <v>6.792792792792793</v>
      </c>
      <c r="N8" s="22">
        <f>N14*B8</f>
        <v>210.94234234234233</v>
      </c>
      <c r="O8" s="43">
        <f>O14*B8</f>
        <v>1582.5900900900901</v>
      </c>
      <c r="P8" s="22">
        <f>P14*B8</f>
        <v>24.036036036036037</v>
      </c>
      <c r="Q8" s="22">
        <f>Q14*B8</f>
        <v>165.63963963963963</v>
      </c>
      <c r="R8" s="22">
        <f>R14*B8</f>
        <v>146.3063063063063</v>
      </c>
      <c r="S8" s="22">
        <f>S14*B8</f>
        <v>144.4252252252252</v>
      </c>
      <c r="T8" s="23">
        <f>SUM(L8:S8)</f>
        <v>5952.027927927928</v>
      </c>
      <c r="U8" s="22">
        <f>U14*B8</f>
        <v>23.409009009009008</v>
      </c>
      <c r="V8" s="32">
        <f>V14*B8</f>
        <v>1582.5900900900901</v>
      </c>
      <c r="W8" s="30">
        <f>W14*B8</f>
        <v>0</v>
      </c>
      <c r="X8" s="28">
        <f>SUM(U8:W8)</f>
        <v>1605.999099099099</v>
      </c>
      <c r="Y8" s="29">
        <f>K8+T8+X8</f>
        <v>11856.447747747749</v>
      </c>
    </row>
    <row r="9" spans="1:25" ht="51.75" thickBot="1">
      <c r="A9" s="11" t="s">
        <v>13</v>
      </c>
      <c r="B9" s="58">
        <f>C9*100/111/100</f>
        <v>0.47747747747747743</v>
      </c>
      <c r="C9" s="20">
        <v>53</v>
      </c>
      <c r="D9" s="32">
        <v>7633.7</v>
      </c>
      <c r="E9" s="32"/>
      <c r="F9" s="32">
        <v>35.7</v>
      </c>
      <c r="G9" s="22"/>
      <c r="H9" s="22">
        <f>H14*B9</f>
        <v>160.76666666666665</v>
      </c>
      <c r="I9" s="22">
        <f>I14*B9</f>
        <v>13.512612612612612</v>
      </c>
      <c r="J9" s="22"/>
      <c r="K9" s="23">
        <f>SUM(D9:J9)</f>
        <v>7843.6792792792785</v>
      </c>
      <c r="L9" s="22">
        <f>L14*B9</f>
        <v>3354.804504504504</v>
      </c>
      <c r="M9" s="22">
        <f>M14*B9</f>
        <v>6.207207207207206</v>
      </c>
      <c r="N9" s="22">
        <f>N14*B9</f>
        <v>192.75765765765763</v>
      </c>
      <c r="O9" s="43">
        <f>O14*B9</f>
        <v>1446.1599099099099</v>
      </c>
      <c r="P9" s="22">
        <f>P14*B9</f>
        <v>21.963963963963963</v>
      </c>
      <c r="Q9" s="22">
        <f>Q14*B9</f>
        <v>151.36036036036035</v>
      </c>
      <c r="R9" s="22">
        <f>R14*B9</f>
        <v>133.6936936936937</v>
      </c>
      <c r="S9" s="22">
        <f>S14*B9</f>
        <v>131.97477477477474</v>
      </c>
      <c r="T9" s="23">
        <f>SUM(L9:S9)</f>
        <v>5438.922072072071</v>
      </c>
      <c r="U9" s="22">
        <f>U14*B9</f>
        <v>21.39099099099099</v>
      </c>
      <c r="V9" s="32">
        <f>V14*B9</f>
        <v>1446.1599099099099</v>
      </c>
      <c r="W9" s="30">
        <f>W14*B9</f>
        <v>0</v>
      </c>
      <c r="X9" s="28">
        <f>SUM(U9:W9)</f>
        <v>1467.5509009009008</v>
      </c>
      <c r="Y9" s="29">
        <f>K9+T9+X9</f>
        <v>14750.15225225225</v>
      </c>
    </row>
    <row r="10" spans="1:25" ht="39" thickBot="1">
      <c r="A10" s="12" t="s">
        <v>35</v>
      </c>
      <c r="B10" s="19"/>
      <c r="C10" s="20">
        <v>63</v>
      </c>
      <c r="D10" s="32"/>
      <c r="E10" s="32"/>
      <c r="F10" s="32"/>
      <c r="G10" s="22">
        <v>259.1</v>
      </c>
      <c r="H10" s="32">
        <v>53.8</v>
      </c>
      <c r="I10" s="22"/>
      <c r="J10" s="22"/>
      <c r="K10" s="23">
        <f>SUM(D10:J10)</f>
        <v>312.90000000000003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312.90000000000003</v>
      </c>
    </row>
    <row r="11" spans="1:25" ht="34.5" customHeight="1" thickBot="1">
      <c r="A11" s="12" t="s">
        <v>37</v>
      </c>
      <c r="B11" s="45"/>
      <c r="C11" s="20">
        <v>95</v>
      </c>
      <c r="D11" s="34"/>
      <c r="E11" s="34"/>
      <c r="F11" s="34"/>
      <c r="G11" s="22">
        <v>909.3</v>
      </c>
      <c r="H11" s="34"/>
      <c r="I11" s="22"/>
      <c r="J11" s="22"/>
      <c r="K11" s="23">
        <f>SUM(D11:J11)</f>
        <v>909.3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46" t="s">
        <v>22</v>
      </c>
      <c r="B12" s="25">
        <f>B8+B9+B10</f>
        <v>1</v>
      </c>
      <c r="C12" s="20">
        <v>111</v>
      </c>
      <c r="D12" s="24">
        <f>D8+D9</f>
        <v>11741.4</v>
      </c>
      <c r="E12" s="24">
        <f aca="true" t="shared" si="0" ref="E12:X12">SUM(E8:E10)</f>
        <v>0</v>
      </c>
      <c r="F12" s="24">
        <v>31.1</v>
      </c>
      <c r="G12" s="23">
        <f>SUM(G8:G11)</f>
        <v>1168.4</v>
      </c>
      <c r="H12" s="23">
        <f>SUM(H8:H10)</f>
        <v>390.5</v>
      </c>
      <c r="I12" s="24">
        <f t="shared" si="0"/>
        <v>28.299999999999997</v>
      </c>
      <c r="J12" s="24">
        <f t="shared" si="0"/>
        <v>0</v>
      </c>
      <c r="K12" s="23">
        <f>SUM(K8:K11)</f>
        <v>13364.299999999997</v>
      </c>
      <c r="L12" s="23">
        <f>SUM(L8:L10)</f>
        <v>7026.1</v>
      </c>
      <c r="M12" s="24">
        <f t="shared" si="0"/>
        <v>13</v>
      </c>
      <c r="N12" s="24">
        <f t="shared" si="0"/>
        <v>403.69999999999993</v>
      </c>
      <c r="O12" s="24">
        <f t="shared" si="0"/>
        <v>3028.75</v>
      </c>
      <c r="P12" s="24">
        <f t="shared" si="0"/>
        <v>46</v>
      </c>
      <c r="Q12" s="24">
        <f t="shared" si="0"/>
        <v>317</v>
      </c>
      <c r="R12" s="24">
        <f t="shared" si="0"/>
        <v>280</v>
      </c>
      <c r="S12" s="24">
        <f t="shared" si="0"/>
        <v>276.4</v>
      </c>
      <c r="T12" s="23">
        <f t="shared" si="0"/>
        <v>11390.95</v>
      </c>
      <c r="U12" s="24">
        <f t="shared" si="0"/>
        <v>44.8</v>
      </c>
      <c r="V12" s="24">
        <f t="shared" si="0"/>
        <v>3028.75</v>
      </c>
      <c r="W12" s="24">
        <f t="shared" si="0"/>
        <v>0</v>
      </c>
      <c r="X12" s="28">
        <f t="shared" si="0"/>
        <v>3073.55</v>
      </c>
      <c r="Y12" s="47">
        <f>SUM(Y8:Y11)</f>
        <v>27828.8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>
        <v>24.3</v>
      </c>
      <c r="G14" s="26">
        <v>783.1</v>
      </c>
      <c r="H14" s="26">
        <v>336.7</v>
      </c>
      <c r="I14" s="26">
        <v>28.3</v>
      </c>
      <c r="J14" s="26"/>
      <c r="K14" s="26"/>
      <c r="L14" s="26">
        <v>7026.1</v>
      </c>
      <c r="M14" s="26">
        <v>13</v>
      </c>
      <c r="N14" s="31">
        <v>403.7</v>
      </c>
      <c r="O14" s="31">
        <v>3028.75</v>
      </c>
      <c r="P14" s="31">
        <v>46</v>
      </c>
      <c r="Q14" s="31">
        <v>317</v>
      </c>
      <c r="R14" s="31">
        <v>280</v>
      </c>
      <c r="S14" s="26">
        <v>276.4</v>
      </c>
      <c r="T14" s="26"/>
      <c r="U14" s="31">
        <v>44.8</v>
      </c>
      <c r="V14" s="31">
        <v>3028.75</v>
      </c>
      <c r="W14" s="26">
        <v>0</v>
      </c>
      <c r="X14" s="26"/>
      <c r="Y14" s="27"/>
    </row>
    <row r="16" ht="15">
      <c r="Y16" s="13">
        <v>27828.8</v>
      </c>
    </row>
    <row r="17" spans="4:25" ht="15">
      <c r="D17">
        <v>18686.8</v>
      </c>
      <c r="G17" s="42"/>
      <c r="N17">
        <f>N12+O12+P12+U12+V12</f>
        <v>6552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IV2"/>
    <mergeCell ref="A1:Y1"/>
    <mergeCell ref="A3:Y3"/>
    <mergeCell ref="A4:Y4"/>
    <mergeCell ref="A6:A7"/>
    <mergeCell ref="B6:B7"/>
    <mergeCell ref="C6:C7"/>
    <mergeCell ref="D6:K6"/>
    <mergeCell ref="L6:T6"/>
    <mergeCell ref="U6:X6"/>
    <mergeCell ref="Y6:Y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8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8.75">
      <c r="A3" s="100" t="s">
        <v>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.75">
      <c r="A4" s="100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01" t="s">
        <v>11</v>
      </c>
      <c r="V6" s="102"/>
      <c r="W6" s="102"/>
      <c r="X6" s="102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8">
        <f>C8*100/114/100</f>
        <v>0.5087719298245613</v>
      </c>
      <c r="C8" s="20">
        <v>58</v>
      </c>
      <c r="D8" s="32">
        <v>4272</v>
      </c>
      <c r="E8" s="32"/>
      <c r="F8" s="32"/>
      <c r="G8" s="22"/>
      <c r="H8" s="22">
        <f>H14*B8</f>
        <v>185.04035087719294</v>
      </c>
      <c r="I8" s="22">
        <f>I14*B8</f>
        <v>14.398245614035085</v>
      </c>
      <c r="J8" s="22"/>
      <c r="K8" s="23">
        <f>SUM(D8:J8)</f>
        <v>4471.438596491228</v>
      </c>
      <c r="L8" s="22">
        <f>L14*B8</f>
        <v>3837.1578947368416</v>
      </c>
      <c r="M8" s="22">
        <f>M14*B8</f>
        <v>6.614035087719297</v>
      </c>
      <c r="N8" s="22">
        <v>206.1</v>
      </c>
      <c r="O8" s="32">
        <f>O14*B8</f>
        <v>1562.4385964912278</v>
      </c>
      <c r="P8" s="22">
        <f>P14*B8</f>
        <v>25.438596491228065</v>
      </c>
      <c r="Q8" s="22">
        <f>Q14*B8</f>
        <v>167.89473684210523</v>
      </c>
      <c r="R8" s="22">
        <f>R14*B8</f>
        <v>142.45614035087718</v>
      </c>
      <c r="S8" s="22">
        <f>S14*B8</f>
        <v>141.18421052631575</v>
      </c>
      <c r="T8" s="23">
        <f>SUM(L8:S8)</f>
        <v>6089.284210526314</v>
      </c>
      <c r="U8" s="22">
        <f>U14*B8</f>
        <v>22.89473684210526</v>
      </c>
      <c r="V8" s="32">
        <f>V14*B8</f>
        <v>1562.4385964912278</v>
      </c>
      <c r="W8" s="30">
        <f>W14*B8</f>
        <v>0</v>
      </c>
      <c r="X8" s="28">
        <f>SUM(U8:W8)</f>
        <v>1585.333333333333</v>
      </c>
      <c r="Y8" s="29">
        <v>12146</v>
      </c>
    </row>
    <row r="9" spans="1:25" ht="51.75" thickBot="1">
      <c r="A9" s="11" t="s">
        <v>13</v>
      </c>
      <c r="B9" s="58">
        <f>C9*100/114/100</f>
        <v>0.4912280701754386</v>
      </c>
      <c r="C9" s="20">
        <v>56</v>
      </c>
      <c r="D9" s="32">
        <v>7939.1</v>
      </c>
      <c r="E9" s="32"/>
      <c r="F9" s="32">
        <v>35.7</v>
      </c>
      <c r="G9" s="22"/>
      <c r="H9" s="22">
        <f>H14*B9</f>
        <v>178.65964912280702</v>
      </c>
      <c r="I9" s="22">
        <f>I14*B9</f>
        <v>13.901754385964914</v>
      </c>
      <c r="J9" s="22"/>
      <c r="K9" s="23">
        <f>SUM(D9:J9)</f>
        <v>8167.361403508772</v>
      </c>
      <c r="L9" s="22">
        <f>L14*B9</f>
        <v>3704.842105263158</v>
      </c>
      <c r="M9" s="22">
        <f>M14*B9</f>
        <v>6.385964912280702</v>
      </c>
      <c r="N9" s="22">
        <f>N14*B9</f>
        <v>198.94736842105263</v>
      </c>
      <c r="O9" s="32">
        <f>O14*B9</f>
        <v>1508.561403508772</v>
      </c>
      <c r="P9" s="22">
        <f>P14*B9</f>
        <v>24.56140350877193</v>
      </c>
      <c r="Q9" s="22">
        <f>Q14*B9</f>
        <v>162.10526315789474</v>
      </c>
      <c r="R9" s="22">
        <f>R14*B9</f>
        <v>137.54385964912282</v>
      </c>
      <c r="S9" s="22">
        <f>S14*B9</f>
        <v>136.31578947368422</v>
      </c>
      <c r="T9" s="23">
        <f>SUM(L9:S9)</f>
        <v>5879.263157894738</v>
      </c>
      <c r="U9" s="22">
        <f>U14*B9</f>
        <v>22.10526315789474</v>
      </c>
      <c r="V9" s="32">
        <f>V14*B9</f>
        <v>1508.561403508772</v>
      </c>
      <c r="W9" s="30">
        <f>W14*B9</f>
        <v>0</v>
      </c>
      <c r="X9" s="28">
        <f>SUM(U9:W9)</f>
        <v>1530.6666666666667</v>
      </c>
      <c r="Y9" s="29">
        <f>K9+T9+X9</f>
        <v>15577.291228070177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269.3</v>
      </c>
      <c r="H10" s="32">
        <v>58.5</v>
      </c>
      <c r="I10" s="22"/>
      <c r="J10" s="22"/>
      <c r="K10" s="23">
        <f>SUM(D10:J10)</f>
        <v>327.8</v>
      </c>
      <c r="L10" s="22">
        <v>0</v>
      </c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327.8</v>
      </c>
    </row>
    <row r="11" spans="1:25" ht="30" customHeight="1" thickBot="1">
      <c r="A11" s="12" t="s">
        <v>37</v>
      </c>
      <c r="B11" s="19"/>
      <c r="C11" s="20">
        <v>98</v>
      </c>
      <c r="D11" s="44"/>
      <c r="E11" s="44"/>
      <c r="F11" s="44"/>
      <c r="G11" s="22">
        <v>909.3</v>
      </c>
      <c r="H11" s="44"/>
      <c r="I11" s="22"/>
      <c r="J11" s="22"/>
      <c r="K11" s="23">
        <f>SUM(D11:J11)</f>
        <v>909.3</v>
      </c>
      <c r="L11" s="22"/>
      <c r="M11" s="22"/>
      <c r="N11" s="22"/>
      <c r="O11" s="44"/>
      <c r="P11" s="22"/>
      <c r="Q11" s="22"/>
      <c r="R11" s="22"/>
      <c r="S11" s="22"/>
      <c r="T11" s="23"/>
      <c r="U11" s="22"/>
      <c r="V11" s="44"/>
      <c r="W11" s="30"/>
      <c r="X11" s="28">
        <f>SUM(U11:W11)</f>
        <v>0</v>
      </c>
      <c r="Y11" s="29">
        <f>K11+T11+X11</f>
        <v>909.3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12211.1</v>
      </c>
      <c r="E12" s="24">
        <f aca="true" t="shared" si="0" ref="E12:X12">SUM(E8:E10)</f>
        <v>0</v>
      </c>
      <c r="F12" s="24">
        <f>SUM(F8:F10)</f>
        <v>35.7</v>
      </c>
      <c r="G12" s="23">
        <f>SUM(G8:G11)</f>
        <v>1178.6</v>
      </c>
      <c r="H12" s="24">
        <f>SUM(H8:H10)</f>
        <v>422.19999999999993</v>
      </c>
      <c r="I12" s="24">
        <f t="shared" si="0"/>
        <v>28.299999999999997</v>
      </c>
      <c r="J12" s="24">
        <f t="shared" si="0"/>
        <v>0</v>
      </c>
      <c r="K12" s="23">
        <f>SUM(K8:K11)</f>
        <v>13875.899999999998</v>
      </c>
      <c r="L12" s="23">
        <f>SUM(L8:L10)</f>
        <v>7542</v>
      </c>
      <c r="M12" s="24">
        <f t="shared" si="0"/>
        <v>13</v>
      </c>
      <c r="N12" s="24">
        <f t="shared" si="0"/>
        <v>405.0473684210526</v>
      </c>
      <c r="O12" s="24">
        <f t="shared" si="0"/>
        <v>3071</v>
      </c>
      <c r="P12" s="24">
        <f t="shared" si="0"/>
        <v>50</v>
      </c>
      <c r="Q12" s="24">
        <f t="shared" si="0"/>
        <v>330</v>
      </c>
      <c r="R12" s="24">
        <f t="shared" si="0"/>
        <v>280</v>
      </c>
      <c r="S12" s="24">
        <f t="shared" si="0"/>
        <v>277.5</v>
      </c>
      <c r="T12" s="23">
        <f t="shared" si="0"/>
        <v>11968.547368421052</v>
      </c>
      <c r="U12" s="24">
        <f t="shared" si="0"/>
        <v>45</v>
      </c>
      <c r="V12" s="24">
        <f t="shared" si="0"/>
        <v>3071</v>
      </c>
      <c r="W12" s="24">
        <f t="shared" si="0"/>
        <v>0</v>
      </c>
      <c r="X12" s="28">
        <f t="shared" si="0"/>
        <v>3116</v>
      </c>
      <c r="Y12" s="47">
        <f>SUM(Y8:Y11)</f>
        <v>28960.391228070177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/>
      <c r="D14" s="26"/>
      <c r="E14" s="26"/>
      <c r="F14" s="26"/>
      <c r="G14" s="26">
        <v>764.8</v>
      </c>
      <c r="H14" s="26">
        <v>363.7</v>
      </c>
      <c r="I14" s="26">
        <v>28.3</v>
      </c>
      <c r="J14" s="26"/>
      <c r="K14" s="26"/>
      <c r="L14" s="26">
        <v>7542</v>
      </c>
      <c r="M14" s="26">
        <v>13</v>
      </c>
      <c r="N14" s="31">
        <v>405</v>
      </c>
      <c r="O14" s="31">
        <v>3071</v>
      </c>
      <c r="P14" s="31">
        <v>50</v>
      </c>
      <c r="Q14" s="31">
        <v>330</v>
      </c>
      <c r="R14" s="31">
        <v>280</v>
      </c>
      <c r="S14" s="26">
        <v>277.5</v>
      </c>
      <c r="T14" s="26"/>
      <c r="U14" s="31">
        <v>45</v>
      </c>
      <c r="V14" s="31">
        <v>3071</v>
      </c>
      <c r="W14" s="26">
        <v>0</v>
      </c>
      <c r="X14" s="26"/>
      <c r="Y14" s="27"/>
    </row>
    <row r="16" spans="4:25" ht="15">
      <c r="D16">
        <v>19753.1</v>
      </c>
      <c r="Y16" s="13">
        <v>28960.4</v>
      </c>
    </row>
    <row r="17" spans="12:25" ht="15">
      <c r="L17">
        <f>N14+O14+P14+U14+V14</f>
        <v>6642</v>
      </c>
      <c r="Q17" t="s">
        <v>31</v>
      </c>
      <c r="Y17" s="13">
        <f>Y16-Y12</f>
        <v>0.008771929824433755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  <mergeCell ref="A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2019-12-24T12:05:44Z</dcterms:modified>
  <cp:category/>
  <cp:version/>
  <cp:contentType/>
  <cp:contentStatus/>
</cp:coreProperties>
</file>