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60" windowWidth="9720" windowHeight="7080"/>
  </bookViews>
  <sheets>
    <sheet name="Прил.4" sheetId="7" r:id="rId1"/>
  </sheets>
  <definedNames>
    <definedName name="_xlnm._FilterDatabase" localSheetId="0" hidden="1">Прил.4!$A$8:$L$485</definedName>
    <definedName name="_xlnm.Print_Area" localSheetId="0">Прил.4!$A$1:$L$485</definedName>
  </definedNames>
  <calcPr calcId="125725"/>
</workbook>
</file>

<file path=xl/calcChain.xml><?xml version="1.0" encoding="utf-8"?>
<calcChain xmlns="http://schemas.openxmlformats.org/spreadsheetml/2006/main">
  <c r="L478" i="7"/>
  <c r="L479"/>
  <c r="L480"/>
  <c r="I480"/>
  <c r="I479"/>
  <c r="L467"/>
  <c r="L468"/>
  <c r="L469"/>
  <c r="L470"/>
  <c r="L472"/>
  <c r="L473"/>
  <c r="L474"/>
  <c r="I474"/>
  <c r="I473"/>
  <c r="L460"/>
  <c r="I459"/>
  <c r="L451"/>
  <c r="L453"/>
  <c r="L455"/>
  <c r="I455"/>
  <c r="I453"/>
  <c r="L435"/>
  <c r="L436"/>
  <c r="L437"/>
  <c r="L438"/>
  <c r="L440"/>
  <c r="L442"/>
  <c r="L447"/>
  <c r="I442"/>
  <c r="I440"/>
  <c r="L434" l="1"/>
  <c r="L429"/>
  <c r="L416"/>
  <c r="L418"/>
  <c r="L419"/>
  <c r="L420"/>
  <c r="L421"/>
  <c r="L422"/>
  <c r="L424"/>
  <c r="I422"/>
  <c r="I421"/>
  <c r="I420"/>
  <c r="I418"/>
  <c r="L407"/>
  <c r="L411"/>
  <c r="L412"/>
  <c r="L413"/>
  <c r="L408"/>
  <c r="L409"/>
  <c r="L410"/>
  <c r="I410"/>
  <c r="I409"/>
  <c r="I405"/>
  <c r="K402"/>
  <c r="I400"/>
  <c r="I398"/>
  <c r="I396"/>
  <c r="L386"/>
  <c r="L392"/>
  <c r="I390"/>
  <c r="L377"/>
  <c r="L379"/>
  <c r="L363"/>
  <c r="L364"/>
  <c r="L365"/>
  <c r="L366"/>
  <c r="L367"/>
  <c r="L368"/>
  <c r="L370"/>
  <c r="L371"/>
  <c r="L372"/>
  <c r="L373"/>
  <c r="L376"/>
  <c r="I373"/>
  <c r="I372"/>
  <c r="I368"/>
  <c r="I366"/>
  <c r="L356"/>
  <c r="L357"/>
  <c r="L359"/>
  <c r="L361"/>
  <c r="L329"/>
  <c r="L330"/>
  <c r="L333"/>
  <c r="L334"/>
  <c r="L335"/>
  <c r="L336"/>
  <c r="L338"/>
  <c r="L340"/>
  <c r="L341"/>
  <c r="L342"/>
  <c r="L343"/>
  <c r="L346"/>
  <c r="L348"/>
  <c r="L350"/>
  <c r="L352"/>
  <c r="L354"/>
  <c r="I354"/>
  <c r="I352"/>
  <c r="I343"/>
  <c r="I336"/>
  <c r="I335"/>
  <c r="I331"/>
  <c r="I330"/>
  <c r="I329"/>
  <c r="L310"/>
  <c r="L311"/>
  <c r="L313"/>
  <c r="L314"/>
  <c r="L316"/>
  <c r="L317"/>
  <c r="L318"/>
  <c r="L319"/>
  <c r="I318"/>
  <c r="L305"/>
  <c r="I303"/>
  <c r="L294"/>
  <c r="L295"/>
  <c r="L297"/>
  <c r="L272"/>
  <c r="L274"/>
  <c r="L277"/>
  <c r="L280"/>
  <c r="L281"/>
  <c r="L284"/>
  <c r="L287"/>
  <c r="I272"/>
  <c r="L258"/>
  <c r="L259"/>
  <c r="L260"/>
  <c r="L262"/>
  <c r="L265"/>
  <c r="L267"/>
  <c r="I267"/>
  <c r="I260"/>
  <c r="I259"/>
  <c r="I258"/>
  <c r="L252"/>
  <c r="I252"/>
  <c r="L238"/>
  <c r="L241"/>
  <c r="I243"/>
  <c r="I241"/>
  <c r="I228"/>
  <c r="L223"/>
  <c r="L224"/>
  <c r="L226"/>
  <c r="L228"/>
  <c r="L230"/>
  <c r="L232"/>
  <c r="I237"/>
  <c r="I235"/>
  <c r="I230"/>
  <c r="I226"/>
  <c r="L211"/>
  <c r="L212"/>
  <c r="L216"/>
  <c r="L220"/>
  <c r="L222"/>
  <c r="I220"/>
  <c r="I216"/>
  <c r="L200" l="1"/>
  <c r="L201"/>
  <c r="L203"/>
  <c r="L207"/>
  <c r="I205"/>
  <c r="I203"/>
  <c r="L126"/>
  <c r="L194"/>
  <c r="L196"/>
  <c r="L198"/>
  <c r="L188"/>
  <c r="L190"/>
  <c r="L192"/>
  <c r="L187"/>
  <c r="L184"/>
  <c r="L182"/>
  <c r="I182"/>
  <c r="I181" s="1"/>
  <c r="L176"/>
  <c r="L168"/>
  <c r="L170"/>
  <c r="L172"/>
  <c r="L174"/>
  <c r="L155"/>
  <c r="L157"/>
  <c r="L159"/>
  <c r="L161"/>
  <c r="L163"/>
  <c r="L165"/>
  <c r="L167"/>
  <c r="I167"/>
  <c r="I166" s="1"/>
  <c r="I161"/>
  <c r="L149"/>
  <c r="L151"/>
  <c r="L153"/>
  <c r="I151"/>
  <c r="I150" s="1"/>
  <c r="I149" s="1"/>
  <c r="I148" s="1"/>
  <c r="I147" s="1"/>
  <c r="L138"/>
  <c r="L140"/>
  <c r="L142"/>
  <c r="L144"/>
  <c r="I146"/>
  <c r="I145" s="1"/>
  <c r="I144"/>
  <c r="I143" s="1"/>
  <c r="I142"/>
  <c r="I141" s="1"/>
  <c r="I140"/>
  <c r="I139" s="1"/>
  <c r="I138"/>
  <c r="I137" s="1"/>
  <c r="L134"/>
  <c r="L130"/>
  <c r="K80"/>
  <c r="K78"/>
  <c r="L99"/>
  <c r="L124"/>
  <c r="L125"/>
  <c r="L123"/>
  <c r="I123"/>
  <c r="I122" s="1"/>
  <c r="I119" s="1"/>
  <c r="L121"/>
  <c r="L118"/>
  <c r="L116"/>
  <c r="L113"/>
  <c r="L109"/>
  <c r="L111"/>
  <c r="L108"/>
  <c r="L104"/>
  <c r="L106"/>
  <c r="L100"/>
  <c r="L101"/>
  <c r="L103"/>
  <c r="L89"/>
  <c r="L98"/>
  <c r="L96"/>
  <c r="L92"/>
  <c r="L93"/>
  <c r="L94"/>
  <c r="I93"/>
  <c r="I92" s="1"/>
  <c r="I89" s="1"/>
  <c r="I88" s="1"/>
  <c r="I87" s="1"/>
  <c r="L91"/>
  <c r="L82"/>
  <c r="L83"/>
  <c r="L84"/>
  <c r="L85"/>
  <c r="L86"/>
  <c r="I85"/>
  <c r="I84"/>
  <c r="L79"/>
  <c r="L81"/>
  <c r="I81"/>
  <c r="I80" s="1"/>
  <c r="I79"/>
  <c r="L72"/>
  <c r="L74"/>
  <c r="L73"/>
  <c r="I74"/>
  <c r="I73"/>
  <c r="L60"/>
  <c r="L68"/>
  <c r="L66"/>
  <c r="L64"/>
  <c r="L62"/>
  <c r="L61"/>
  <c r="L57"/>
  <c r="L59"/>
  <c r="I59"/>
  <c r="I58" s="1"/>
  <c r="L54"/>
  <c r="L55"/>
  <c r="L56"/>
  <c r="L50"/>
  <c r="L51"/>
  <c r="L52"/>
  <c r="L53"/>
  <c r="I53"/>
  <c r="I52"/>
  <c r="L49"/>
  <c r="L42"/>
  <c r="L43"/>
  <c r="L44"/>
  <c r="L45"/>
  <c r="L46"/>
  <c r="L47"/>
  <c r="I47"/>
  <c r="I46"/>
  <c r="L37"/>
  <c r="L39"/>
  <c r="L38" s="1"/>
  <c r="L41"/>
  <c r="I37"/>
  <c r="I36" s="1"/>
  <c r="L33"/>
  <c r="L32"/>
  <c r="L34"/>
  <c r="L35"/>
  <c r="I35"/>
  <c r="I34"/>
  <c r="I33"/>
  <c r="L25"/>
  <c r="L15"/>
  <c r="L16"/>
  <c r="L18"/>
  <c r="L21"/>
  <c r="L14"/>
  <c r="K480"/>
  <c r="K479"/>
  <c r="K478" s="1"/>
  <c r="K477" s="1"/>
  <c r="K476" s="1"/>
  <c r="K475" s="1"/>
  <c r="K474"/>
  <c r="K473"/>
  <c r="K472" s="1"/>
  <c r="K471" s="1"/>
  <c r="K470" s="1"/>
  <c r="K469" s="1"/>
  <c r="K468" s="1"/>
  <c r="K467" s="1"/>
  <c r="K465"/>
  <c r="K464" s="1"/>
  <c r="K463" s="1"/>
  <c r="K462" s="1"/>
  <c r="K461" s="1"/>
  <c r="K458"/>
  <c r="K457" s="1"/>
  <c r="K456" s="1"/>
  <c r="K454"/>
  <c r="K452"/>
  <c r="K451" s="1"/>
  <c r="K450" s="1"/>
  <c r="K449" s="1"/>
  <c r="K446"/>
  <c r="K445"/>
  <c r="K444" s="1"/>
  <c r="K443" s="1"/>
  <c r="K441"/>
  <c r="K439"/>
  <c r="K438" s="1"/>
  <c r="K437"/>
  <c r="K436" s="1"/>
  <c r="K433"/>
  <c r="K432" s="1"/>
  <c r="K431" s="1"/>
  <c r="K430" s="1"/>
  <c r="K428"/>
  <c r="K427"/>
  <c r="K426" s="1"/>
  <c r="K425" s="1"/>
  <c r="K423"/>
  <c r="K422"/>
  <c r="K421"/>
  <c r="K420"/>
  <c r="K419" s="1"/>
  <c r="K418"/>
  <c r="K417" s="1"/>
  <c r="K416" s="1"/>
  <c r="K415" s="1"/>
  <c r="K414" s="1"/>
  <c r="K411"/>
  <c r="K408"/>
  <c r="K407" s="1"/>
  <c r="K406" s="1"/>
  <c r="K404"/>
  <c r="K401" s="1"/>
  <c r="K399"/>
  <c r="K398"/>
  <c r="K397" s="1"/>
  <c r="K396"/>
  <c r="K395"/>
  <c r="K394" s="1"/>
  <c r="K393" s="1"/>
  <c r="K391"/>
  <c r="K390"/>
  <c r="K389"/>
  <c r="K388" s="1"/>
  <c r="K387" s="1"/>
  <c r="K386"/>
  <c r="K385"/>
  <c r="K384"/>
  <c r="K383"/>
  <c r="K382" s="1"/>
  <c r="K380"/>
  <c r="K378"/>
  <c r="K377"/>
  <c r="K374"/>
  <c r="K371"/>
  <c r="K367"/>
  <c r="K364"/>
  <c r="K360"/>
  <c r="K358"/>
  <c r="K357" s="1"/>
  <c r="K356" s="1"/>
  <c r="K353"/>
  <c r="K352"/>
  <c r="K351"/>
  <c r="K349"/>
  <c r="K348"/>
  <c r="K347" s="1"/>
  <c r="K345"/>
  <c r="K344"/>
  <c r="K341"/>
  <c r="K339"/>
  <c r="K337"/>
  <c r="K335"/>
  <c r="K334"/>
  <c r="K332"/>
  <c r="K328"/>
  <c r="L328" s="1"/>
  <c r="K323"/>
  <c r="K322" s="1"/>
  <c r="K321" s="1"/>
  <c r="K320" s="1"/>
  <c r="K319"/>
  <c r="K318"/>
  <c r="K317" s="1"/>
  <c r="K314"/>
  <c r="K312"/>
  <c r="L312" s="1"/>
  <c r="K308"/>
  <c r="L308" s="1"/>
  <c r="K304"/>
  <c r="K303"/>
  <c r="K302" s="1"/>
  <c r="K301" s="1"/>
  <c r="K300" s="1"/>
  <c r="K294"/>
  <c r="K293"/>
  <c r="K292" s="1"/>
  <c r="K291" s="1"/>
  <c r="K289"/>
  <c r="K288" s="1"/>
  <c r="K285"/>
  <c r="L285" s="1"/>
  <c r="K282"/>
  <c r="K279"/>
  <c r="K276"/>
  <c r="K271"/>
  <c r="K266"/>
  <c r="K264"/>
  <c r="K263" s="1"/>
  <c r="L263" s="1"/>
  <c r="K261"/>
  <c r="K257"/>
  <c r="K251"/>
  <c r="K250" s="1"/>
  <c r="K249" s="1"/>
  <c r="K248" s="1"/>
  <c r="K245"/>
  <c r="K244" s="1"/>
  <c r="K243"/>
  <c r="K242" s="1"/>
  <c r="K240"/>
  <c r="K239" s="1"/>
  <c r="K238" s="1"/>
  <c r="K237"/>
  <c r="K236"/>
  <c r="K235"/>
  <c r="K234"/>
  <c r="K233" s="1"/>
  <c r="K231"/>
  <c r="K229"/>
  <c r="K227"/>
  <c r="K225"/>
  <c r="K224" s="1"/>
  <c r="K223" s="1"/>
  <c r="K221"/>
  <c r="K220"/>
  <c r="K219"/>
  <c r="K218"/>
  <c r="K217"/>
  <c r="K215"/>
  <c r="K214"/>
  <c r="K213"/>
  <c r="K212" s="1"/>
  <c r="K211" s="1"/>
  <c r="K209"/>
  <c r="K208" s="1"/>
  <c r="K206"/>
  <c r="K205"/>
  <c r="K204" s="1"/>
  <c r="K202"/>
  <c r="K201" s="1"/>
  <c r="K197"/>
  <c r="K195"/>
  <c r="K194" s="1"/>
  <c r="K193" s="1"/>
  <c r="K191"/>
  <c r="K189"/>
  <c r="K188" s="1"/>
  <c r="K186"/>
  <c r="K185" s="1"/>
  <c r="K183"/>
  <c r="K182"/>
  <c r="K181"/>
  <c r="K179"/>
  <c r="K177"/>
  <c r="K176" s="1"/>
  <c r="K175" s="1"/>
  <c r="L175" s="1"/>
  <c r="K173"/>
  <c r="K168" s="1"/>
  <c r="K171"/>
  <c r="K169"/>
  <c r="K166"/>
  <c r="K164"/>
  <c r="K162"/>
  <c r="K161"/>
  <c r="K160"/>
  <c r="K158"/>
  <c r="K156"/>
  <c r="K152"/>
  <c r="K151"/>
  <c r="K150" s="1"/>
  <c r="K149" s="1"/>
  <c r="K148" s="1"/>
  <c r="K147" s="1"/>
  <c r="K146"/>
  <c r="K145"/>
  <c r="K143"/>
  <c r="K141"/>
  <c r="K139"/>
  <c r="K137"/>
  <c r="K133"/>
  <c r="K132"/>
  <c r="K131" s="1"/>
  <c r="K129"/>
  <c r="K128" s="1"/>
  <c r="K127" s="1"/>
  <c r="K124"/>
  <c r="K122"/>
  <c r="K120"/>
  <c r="K119"/>
  <c r="K117"/>
  <c r="K115"/>
  <c r="K114" s="1"/>
  <c r="L114" s="1"/>
  <c r="K112"/>
  <c r="K110"/>
  <c r="K109"/>
  <c r="K107"/>
  <c r="K105"/>
  <c r="K104" s="1"/>
  <c r="K102"/>
  <c r="K101" s="1"/>
  <c r="K100" s="1"/>
  <c r="K99" s="1"/>
  <c r="K97"/>
  <c r="K95"/>
  <c r="K93"/>
  <c r="K92" s="1"/>
  <c r="K90"/>
  <c r="K85"/>
  <c r="K83"/>
  <c r="K82" s="1"/>
  <c r="K74"/>
  <c r="K73"/>
  <c r="K72" s="1"/>
  <c r="K71" s="1"/>
  <c r="K70" s="1"/>
  <c r="K69" s="1"/>
  <c r="K67"/>
  <c r="K65"/>
  <c r="K63"/>
  <c r="K60"/>
  <c r="K59"/>
  <c r="K58"/>
  <c r="K57" s="1"/>
  <c r="K56"/>
  <c r="K55"/>
  <c r="K54"/>
  <c r="K51"/>
  <c r="K50" s="1"/>
  <c r="K48"/>
  <c r="K45"/>
  <c r="K43"/>
  <c r="K42"/>
  <c r="K40"/>
  <c r="K38"/>
  <c r="K36"/>
  <c r="K35"/>
  <c r="K32"/>
  <c r="K28"/>
  <c r="K27"/>
  <c r="K26" s="1"/>
  <c r="K24"/>
  <c r="K23" s="1"/>
  <c r="K22" s="1"/>
  <c r="K20"/>
  <c r="K19" s="1"/>
  <c r="K17"/>
  <c r="K16" s="1"/>
  <c r="K15" s="1"/>
  <c r="K13"/>
  <c r="K12" s="1"/>
  <c r="K11" s="1"/>
  <c r="J480"/>
  <c r="J479"/>
  <c r="J478"/>
  <c r="J477" s="1"/>
  <c r="J476" s="1"/>
  <c r="J475" s="1"/>
  <c r="J474"/>
  <c r="J473"/>
  <c r="J472"/>
  <c r="J471" s="1"/>
  <c r="J470" s="1"/>
  <c r="J469" s="1"/>
  <c r="J465"/>
  <c r="J464" s="1"/>
  <c r="J463" s="1"/>
  <c r="J462" s="1"/>
  <c r="J461" s="1"/>
  <c r="J459"/>
  <c r="J458"/>
  <c r="J457" s="1"/>
  <c r="J456" s="1"/>
  <c r="J455"/>
  <c r="J454"/>
  <c r="J453"/>
  <c r="J452"/>
  <c r="J451" s="1"/>
  <c r="J450" s="1"/>
  <c r="J449" s="1"/>
  <c r="J448" s="1"/>
  <c r="J446"/>
  <c r="J445"/>
  <c r="J444" s="1"/>
  <c r="J443" s="1"/>
  <c r="J442"/>
  <c r="J441"/>
  <c r="J440"/>
  <c r="J439"/>
  <c r="J438" s="1"/>
  <c r="J437"/>
  <c r="J436" s="1"/>
  <c r="J433"/>
  <c r="J432"/>
  <c r="J431" s="1"/>
  <c r="J430" s="1"/>
  <c r="J428"/>
  <c r="J427"/>
  <c r="J426" s="1"/>
  <c r="J425" s="1"/>
  <c r="J423"/>
  <c r="J422"/>
  <c r="J421"/>
  <c r="J420"/>
  <c r="J419" s="1"/>
  <c r="J418"/>
  <c r="J417" s="1"/>
  <c r="J416" s="1"/>
  <c r="J415" s="1"/>
  <c r="J414" s="1"/>
  <c r="J411"/>
  <c r="J410"/>
  <c r="J409"/>
  <c r="J408"/>
  <c r="J407" s="1"/>
  <c r="J406" s="1"/>
  <c r="J405"/>
  <c r="J404"/>
  <c r="J401" s="1"/>
  <c r="J400"/>
  <c r="J399" s="1"/>
  <c r="J398"/>
  <c r="J397" s="1"/>
  <c r="J396"/>
  <c r="J395" s="1"/>
  <c r="J392"/>
  <c r="J391" s="1"/>
  <c r="J390"/>
  <c r="J389" s="1"/>
  <c r="J386"/>
  <c r="J385" s="1"/>
  <c r="J384"/>
  <c r="J383" s="1"/>
  <c r="J380"/>
  <c r="J378"/>
  <c r="J377" s="1"/>
  <c r="J374"/>
  <c r="J373"/>
  <c r="J372"/>
  <c r="J371" s="1"/>
  <c r="J370"/>
  <c r="J368"/>
  <c r="J367"/>
  <c r="J366"/>
  <c r="J364"/>
  <c r="J360"/>
  <c r="J358"/>
  <c r="J357" s="1"/>
  <c r="J356" s="1"/>
  <c r="J354"/>
  <c r="J353" s="1"/>
  <c r="J352"/>
  <c r="J351" s="1"/>
  <c r="J349"/>
  <c r="J348"/>
  <c r="J347"/>
  <c r="J345"/>
  <c r="J344"/>
  <c r="J343"/>
  <c r="J341"/>
  <c r="J339"/>
  <c r="J337"/>
  <c r="J336"/>
  <c r="J335"/>
  <c r="J334" s="1"/>
  <c r="J332"/>
  <c r="J331"/>
  <c r="J330"/>
  <c r="J329"/>
  <c r="J328"/>
  <c r="J323"/>
  <c r="J322" s="1"/>
  <c r="J321" s="1"/>
  <c r="J320" s="1"/>
  <c r="J319"/>
  <c r="J318"/>
  <c r="J317"/>
  <c r="J316"/>
  <c r="J314"/>
  <c r="J312"/>
  <c r="J311"/>
  <c r="J310"/>
  <c r="J308"/>
  <c r="J307" s="1"/>
  <c r="J306" s="1"/>
  <c r="J304"/>
  <c r="J303"/>
  <c r="J302" s="1"/>
  <c r="J301" s="1"/>
  <c r="J300" s="1"/>
  <c r="J299" s="1"/>
  <c r="J294"/>
  <c r="J293"/>
  <c r="J292" s="1"/>
  <c r="J291" s="1"/>
  <c r="J289"/>
  <c r="J288"/>
  <c r="J287"/>
  <c r="J285"/>
  <c r="J284"/>
  <c r="J282"/>
  <c r="J281"/>
  <c r="J279"/>
  <c r="J278" s="1"/>
  <c r="J276"/>
  <c r="J274"/>
  <c r="J272"/>
  <c r="J271" s="1"/>
  <c r="J270" s="1"/>
  <c r="J269" s="1"/>
  <c r="J268" s="1"/>
  <c r="J267"/>
  <c r="J266"/>
  <c r="J264"/>
  <c r="J263"/>
  <c r="J261"/>
  <c r="J260"/>
  <c r="J259"/>
  <c r="J258"/>
  <c r="J257" s="1"/>
  <c r="J256" s="1"/>
  <c r="J255" s="1"/>
  <c r="J254" s="1"/>
  <c r="J253" s="1"/>
  <c r="J252"/>
  <c r="J251" s="1"/>
  <c r="J250" s="1"/>
  <c r="J249" s="1"/>
  <c r="J248" s="1"/>
  <c r="J245"/>
  <c r="J244"/>
  <c r="J243"/>
  <c r="J242"/>
  <c r="J241"/>
  <c r="J240"/>
  <c r="J239" s="1"/>
  <c r="J238" s="1"/>
  <c r="J237"/>
  <c r="J236"/>
  <c r="J235"/>
  <c r="J234"/>
  <c r="J233" s="1"/>
  <c r="J232"/>
  <c r="J231" s="1"/>
  <c r="J230"/>
  <c r="J229" s="1"/>
  <c r="J228"/>
  <c r="J227" s="1"/>
  <c r="J226"/>
  <c r="J225" s="1"/>
  <c r="J221"/>
  <c r="J220"/>
  <c r="J219"/>
  <c r="J218"/>
  <c r="J217"/>
  <c r="J216"/>
  <c r="J215"/>
  <c r="J214"/>
  <c r="J213"/>
  <c r="J212" s="1"/>
  <c r="J211" s="1"/>
  <c r="J209"/>
  <c r="J208"/>
  <c r="J206"/>
  <c r="J205"/>
  <c r="J204" s="1"/>
  <c r="J203"/>
  <c r="J202" s="1"/>
  <c r="J197"/>
  <c r="J195"/>
  <c r="J194" s="1"/>
  <c r="J193" s="1"/>
  <c r="J191"/>
  <c r="J189"/>
  <c r="J188" s="1"/>
  <c r="J186"/>
  <c r="J185" s="1"/>
  <c r="J183"/>
  <c r="J182"/>
  <c r="J181"/>
  <c r="J179"/>
  <c r="J177"/>
  <c r="J176" s="1"/>
  <c r="J175" s="1"/>
  <c r="J173"/>
  <c r="J171"/>
  <c r="J169"/>
  <c r="J168"/>
  <c r="J167"/>
  <c r="J166"/>
  <c r="J164"/>
  <c r="J162"/>
  <c r="J161"/>
  <c r="J160"/>
  <c r="J158"/>
  <c r="J156"/>
  <c r="J155" s="1"/>
  <c r="J152"/>
  <c r="J151"/>
  <c r="J150" s="1"/>
  <c r="J149" s="1"/>
  <c r="J148" s="1"/>
  <c r="J147" s="1"/>
  <c r="J146"/>
  <c r="J145"/>
  <c r="J144"/>
  <c r="J143"/>
  <c r="J142"/>
  <c r="J141"/>
  <c r="J140"/>
  <c r="J139"/>
  <c r="J138"/>
  <c r="J137"/>
  <c r="J136" s="1"/>
  <c r="J135" s="1"/>
  <c r="J133"/>
  <c r="J132"/>
  <c r="J131" s="1"/>
  <c r="J129"/>
  <c r="J128" s="1"/>
  <c r="J127" s="1"/>
  <c r="J124"/>
  <c r="J123"/>
  <c r="J122"/>
  <c r="J120"/>
  <c r="J119"/>
  <c r="J117"/>
  <c r="J115"/>
  <c r="J114" s="1"/>
  <c r="J112"/>
  <c r="J110"/>
  <c r="J109"/>
  <c r="J107"/>
  <c r="J105"/>
  <c r="J104" s="1"/>
  <c r="J102"/>
  <c r="J101" s="1"/>
  <c r="J100" s="1"/>
  <c r="J97"/>
  <c r="J95"/>
  <c r="J93"/>
  <c r="J92" s="1"/>
  <c r="J90"/>
  <c r="J85"/>
  <c r="J84"/>
  <c r="J83"/>
  <c r="J82" s="1"/>
  <c r="J81"/>
  <c r="J80" s="1"/>
  <c r="J79"/>
  <c r="J78" s="1"/>
  <c r="J77" s="1"/>
  <c r="J76" s="1"/>
  <c r="J74"/>
  <c r="J73"/>
  <c r="J72" s="1"/>
  <c r="J71" s="1"/>
  <c r="J70" s="1"/>
  <c r="J69" s="1"/>
  <c r="J67"/>
  <c r="J65"/>
  <c r="J63"/>
  <c r="J60"/>
  <c r="J59"/>
  <c r="J58"/>
  <c r="J57" s="1"/>
  <c r="J56"/>
  <c r="J55"/>
  <c r="J54"/>
  <c r="J53"/>
  <c r="J52"/>
  <c r="J51" s="1"/>
  <c r="J50" s="1"/>
  <c r="J48"/>
  <c r="J47"/>
  <c r="J46"/>
  <c r="J45"/>
  <c r="J43"/>
  <c r="J42"/>
  <c r="J40"/>
  <c r="J38"/>
  <c r="J37"/>
  <c r="J36"/>
  <c r="J35"/>
  <c r="J34"/>
  <c r="J33"/>
  <c r="J32"/>
  <c r="J31" s="1"/>
  <c r="J28"/>
  <c r="J27"/>
  <c r="J26" s="1"/>
  <c r="J24"/>
  <c r="J23" s="1"/>
  <c r="J22" s="1"/>
  <c r="J21"/>
  <c r="J20"/>
  <c r="J19" s="1"/>
  <c r="J18"/>
  <c r="J17" s="1"/>
  <c r="J13"/>
  <c r="J12" s="1"/>
  <c r="J11" s="1"/>
  <c r="I478"/>
  <c r="I477" s="1"/>
  <c r="I476" s="1"/>
  <c r="I475" s="1"/>
  <c r="I472"/>
  <c r="I471" s="1"/>
  <c r="I470" s="1"/>
  <c r="I469" s="1"/>
  <c r="I465"/>
  <c r="I464" s="1"/>
  <c r="I463" s="1"/>
  <c r="I462" s="1"/>
  <c r="I461" s="1"/>
  <c r="I458"/>
  <c r="I457" s="1"/>
  <c r="I456" s="1"/>
  <c r="I454"/>
  <c r="I452"/>
  <c r="I451" s="1"/>
  <c r="I450" s="1"/>
  <c r="I449" s="1"/>
  <c r="I448" s="1"/>
  <c r="I446"/>
  <c r="I445"/>
  <c r="I444" s="1"/>
  <c r="I443" s="1"/>
  <c r="I441"/>
  <c r="I439"/>
  <c r="I437"/>
  <c r="I436" s="1"/>
  <c r="I433"/>
  <c r="I432"/>
  <c r="I431" s="1"/>
  <c r="I430" s="1"/>
  <c r="I428"/>
  <c r="I427"/>
  <c r="I426" s="1"/>
  <c r="I425" s="1"/>
  <c r="I423"/>
  <c r="I419"/>
  <c r="I417"/>
  <c r="I411"/>
  <c r="I408"/>
  <c r="I407" s="1"/>
  <c r="I406" s="1"/>
  <c r="I404"/>
  <c r="I401" s="1"/>
  <c r="I399"/>
  <c r="I397"/>
  <c r="I395"/>
  <c r="I391"/>
  <c r="I389"/>
  <c r="I385"/>
  <c r="I383"/>
  <c r="I380"/>
  <c r="I378"/>
  <c r="I374"/>
  <c r="I371"/>
  <c r="I367"/>
  <c r="I364"/>
  <c r="I360"/>
  <c r="I358"/>
  <c r="I353"/>
  <c r="I351"/>
  <c r="I349"/>
  <c r="I347"/>
  <c r="I345"/>
  <c r="I344"/>
  <c r="I341"/>
  <c r="I339"/>
  <c r="I337"/>
  <c r="I334"/>
  <c r="I332"/>
  <c r="I328"/>
  <c r="I323"/>
  <c r="I322" s="1"/>
  <c r="I321" s="1"/>
  <c r="I320" s="1"/>
  <c r="I317"/>
  <c r="I314"/>
  <c r="I312"/>
  <c r="I308"/>
  <c r="I304"/>
  <c r="I302"/>
  <c r="I301" s="1"/>
  <c r="I300" s="1"/>
  <c r="I294"/>
  <c r="I293"/>
  <c r="I292" s="1"/>
  <c r="I291" s="1"/>
  <c r="I289"/>
  <c r="I288"/>
  <c r="I285"/>
  <c r="I282"/>
  <c r="I279"/>
  <c r="I276"/>
  <c r="I271"/>
  <c r="I270" s="1"/>
  <c r="I266"/>
  <c r="I264"/>
  <c r="I263"/>
  <c r="I261"/>
  <c r="I257"/>
  <c r="I251"/>
  <c r="I250" s="1"/>
  <c r="I249" s="1"/>
  <c r="I248" s="1"/>
  <c r="I245"/>
  <c r="I244" s="1"/>
  <c r="I242"/>
  <c r="I240"/>
  <c r="I239" s="1"/>
  <c r="I238" s="1"/>
  <c r="I236"/>
  <c r="I234"/>
  <c r="I233" s="1"/>
  <c r="I231"/>
  <c r="I229"/>
  <c r="I227"/>
  <c r="I225"/>
  <c r="I224" s="1"/>
  <c r="I223" s="1"/>
  <c r="I221"/>
  <c r="I219"/>
  <c r="I218"/>
  <c r="I217"/>
  <c r="I215"/>
  <c r="I213"/>
  <c r="I212" s="1"/>
  <c r="I211" s="1"/>
  <c r="I209"/>
  <c r="I208"/>
  <c r="I206"/>
  <c r="I204"/>
  <c r="I202"/>
  <c r="I197"/>
  <c r="I195"/>
  <c r="I194" s="1"/>
  <c r="I193" s="1"/>
  <c r="I191"/>
  <c r="I189"/>
  <c r="I188" s="1"/>
  <c r="I186"/>
  <c r="I185" s="1"/>
  <c r="I183"/>
  <c r="I179"/>
  <c r="I177"/>
  <c r="I173"/>
  <c r="I171"/>
  <c r="I169"/>
  <c r="I168"/>
  <c r="I164"/>
  <c r="I162"/>
  <c r="I160"/>
  <c r="I158"/>
  <c r="I156"/>
  <c r="I152"/>
  <c r="I133"/>
  <c r="I132"/>
  <c r="I131" s="1"/>
  <c r="I129"/>
  <c r="I128" s="1"/>
  <c r="I127" s="1"/>
  <c r="I124"/>
  <c r="I120"/>
  <c r="I117"/>
  <c r="I115"/>
  <c r="I114" s="1"/>
  <c r="I112"/>
  <c r="I110"/>
  <c r="I109"/>
  <c r="I107"/>
  <c r="I105"/>
  <c r="I104" s="1"/>
  <c r="I102"/>
  <c r="I101" s="1"/>
  <c r="I100" s="1"/>
  <c r="I97"/>
  <c r="I95"/>
  <c r="I90"/>
  <c r="I78"/>
  <c r="I72"/>
  <c r="I71" s="1"/>
  <c r="I70" s="1"/>
  <c r="I69" s="1"/>
  <c r="I67"/>
  <c r="I65"/>
  <c r="I63"/>
  <c r="I60"/>
  <c r="I54"/>
  <c r="I48"/>
  <c r="I43"/>
  <c r="I40"/>
  <c r="I38"/>
  <c r="I28"/>
  <c r="I27"/>
  <c r="I26" s="1"/>
  <c r="I24"/>
  <c r="I23" s="1"/>
  <c r="I22" s="1"/>
  <c r="I20"/>
  <c r="I19" s="1"/>
  <c r="I17"/>
  <c r="I16" s="1"/>
  <c r="I15" s="1"/>
  <c r="I13"/>
  <c r="I12"/>
  <c r="I11" s="1"/>
  <c r="L214"/>
  <c r="L303"/>
  <c r="K448" l="1"/>
  <c r="L449"/>
  <c r="I438"/>
  <c r="I416"/>
  <c r="I415" s="1"/>
  <c r="I414" s="1"/>
  <c r="I377"/>
  <c r="K363"/>
  <c r="K362" s="1"/>
  <c r="L362" s="1"/>
  <c r="I357"/>
  <c r="I356" s="1"/>
  <c r="K256"/>
  <c r="L256" s="1"/>
  <c r="L257"/>
  <c r="K278"/>
  <c r="L278" s="1"/>
  <c r="L279"/>
  <c r="K270"/>
  <c r="K269" s="1"/>
  <c r="L271"/>
  <c r="K307"/>
  <c r="I307"/>
  <c r="I306" s="1"/>
  <c r="I299" s="1"/>
  <c r="I278"/>
  <c r="I269" s="1"/>
  <c r="I268" s="1"/>
  <c r="I256"/>
  <c r="I255" s="1"/>
  <c r="I254" s="1"/>
  <c r="K200"/>
  <c r="I201"/>
  <c r="I200" s="1"/>
  <c r="I199" s="1"/>
  <c r="I176"/>
  <c r="I175" s="1"/>
  <c r="I155"/>
  <c r="I154" s="1"/>
  <c r="K155"/>
  <c r="K154" s="1"/>
  <c r="L154" s="1"/>
  <c r="K136"/>
  <c r="I136"/>
  <c r="I135" s="1"/>
  <c r="I99"/>
  <c r="K89"/>
  <c r="K88" s="1"/>
  <c r="K87" s="1"/>
  <c r="I83"/>
  <c r="I82" s="1"/>
  <c r="I77"/>
  <c r="I76" s="1"/>
  <c r="I75" s="1"/>
  <c r="I57"/>
  <c r="I51"/>
  <c r="I50" s="1"/>
  <c r="K31"/>
  <c r="K30" s="1"/>
  <c r="L30" s="1"/>
  <c r="I45"/>
  <c r="I42"/>
  <c r="I31" s="1"/>
  <c r="L31"/>
  <c r="I32"/>
  <c r="K77"/>
  <c r="K327"/>
  <c r="K355"/>
  <c r="L355" s="1"/>
  <c r="K435"/>
  <c r="J126"/>
  <c r="J16"/>
  <c r="J15" s="1"/>
  <c r="J30"/>
  <c r="J10" s="1"/>
  <c r="J89"/>
  <c r="J88" s="1"/>
  <c r="J87" s="1"/>
  <c r="J75" s="1"/>
  <c r="J99"/>
  <c r="J154"/>
  <c r="J201"/>
  <c r="J200" s="1"/>
  <c r="J199" s="1"/>
  <c r="J224"/>
  <c r="J223" s="1"/>
  <c r="J327"/>
  <c r="J326" s="1"/>
  <c r="J325" s="1"/>
  <c r="J363"/>
  <c r="J382"/>
  <c r="J388"/>
  <c r="J387" s="1"/>
  <c r="J394"/>
  <c r="J393" s="1"/>
  <c r="J435"/>
  <c r="J468"/>
  <c r="J467" s="1"/>
  <c r="I327"/>
  <c r="I326" s="1"/>
  <c r="I325" s="1"/>
  <c r="I363"/>
  <c r="I382"/>
  <c r="I388"/>
  <c r="I387" s="1"/>
  <c r="I394"/>
  <c r="I393" s="1"/>
  <c r="I435"/>
  <c r="I468"/>
  <c r="I467" s="1"/>
  <c r="L360"/>
  <c r="L398"/>
  <c r="L396"/>
  <c r="L345"/>
  <c r="L339"/>
  <c r="K326" l="1"/>
  <c r="L327"/>
  <c r="K255"/>
  <c r="K254" s="1"/>
  <c r="K268"/>
  <c r="L268" s="1"/>
  <c r="L269"/>
  <c r="L255"/>
  <c r="K306"/>
  <c r="L307"/>
  <c r="I253"/>
  <c r="K199"/>
  <c r="L199" s="1"/>
  <c r="I126"/>
  <c r="K135"/>
  <c r="K126" s="1"/>
  <c r="L136"/>
  <c r="K76"/>
  <c r="L76" s="1"/>
  <c r="K75"/>
  <c r="L75" s="1"/>
  <c r="K10"/>
  <c r="L10" s="1"/>
  <c r="I30"/>
  <c r="I10" s="1"/>
  <c r="J9"/>
  <c r="J481" s="1"/>
  <c r="J362"/>
  <c r="J355" s="1"/>
  <c r="I362"/>
  <c r="I355" s="1"/>
  <c r="L374"/>
  <c r="L261"/>
  <c r="L218"/>
  <c r="L237"/>
  <c r="L235"/>
  <c r="L205"/>
  <c r="L337"/>
  <c r="I9" l="1"/>
  <c r="I481" s="1"/>
  <c r="K325"/>
  <c r="L325" s="1"/>
  <c r="L326"/>
  <c r="K299"/>
  <c r="L306"/>
  <c r="L146"/>
  <c r="L97"/>
  <c r="L332"/>
  <c r="L217"/>
  <c r="L276"/>
  <c r="L231"/>
  <c r="L221"/>
  <c r="L67"/>
  <c r="L299" l="1"/>
  <c r="K253"/>
  <c r="L243"/>
  <c r="L423"/>
  <c r="L347"/>
  <c r="L380"/>
  <c r="L384"/>
  <c r="L385"/>
  <c r="L382" s="1"/>
  <c r="L465"/>
  <c r="L464" s="1"/>
  <c r="L463" s="1"/>
  <c r="L462" s="1"/>
  <c r="L461" s="1"/>
  <c r="L65"/>
  <c r="L177"/>
  <c r="L304"/>
  <c r="L390"/>
  <c r="L391"/>
  <c r="L323"/>
  <c r="L322" s="1"/>
  <c r="L321" s="1"/>
  <c r="L320" s="1"/>
  <c r="L253" l="1"/>
  <c r="K9"/>
  <c r="L206"/>
  <c r="L63"/>
  <c r="K481" l="1"/>
  <c r="L481" s="1"/>
  <c r="L9"/>
  <c r="L282"/>
  <c r="L191"/>
  <c r="L183" l="1"/>
  <c r="L240"/>
  <c r="L229"/>
  <c r="L102"/>
  <c r="L399"/>
  <c r="L397"/>
  <c r="L395"/>
  <c r="L378"/>
  <c r="L245"/>
  <c r="L244" s="1"/>
  <c r="L197"/>
  <c r="L195"/>
  <c r="L139"/>
  <c r="L120"/>
  <c r="L122"/>
  <c r="L145"/>
  <c r="L439"/>
  <c r="L17"/>
  <c r="L353"/>
  <c r="L344"/>
  <c r="L236"/>
  <c r="L233" s="1"/>
  <c r="L219"/>
  <c r="L477"/>
  <c r="L476" s="1"/>
  <c r="L475" s="1"/>
  <c r="L264"/>
  <c r="L446"/>
  <c r="L445" s="1"/>
  <c r="L444" s="1"/>
  <c r="L443" s="1"/>
  <c r="L189"/>
  <c r="L457"/>
  <c r="L456" s="1"/>
  <c r="L454"/>
  <c r="L452"/>
  <c r="L225"/>
  <c r="L251"/>
  <c r="L250" s="1"/>
  <c r="L249" s="1"/>
  <c r="L248" s="1"/>
  <c r="L181"/>
  <c r="L179"/>
  <c r="L213"/>
  <c r="L202"/>
  <c r="L164"/>
  <c r="L204"/>
  <c r="L143"/>
  <c r="L137"/>
  <c r="L227"/>
  <c r="L95"/>
  <c r="L215"/>
  <c r="L351"/>
  <c r="L349"/>
  <c r="L242"/>
  <c r="L471"/>
  <c r="L80"/>
  <c r="L169"/>
  <c r="L234"/>
  <c r="L20"/>
  <c r="L19" s="1"/>
  <c r="L160"/>
  <c r="L166"/>
  <c r="L156"/>
  <c r="L186"/>
  <c r="L185" s="1"/>
  <c r="L162"/>
  <c r="L158"/>
  <c r="L266"/>
  <c r="L389"/>
  <c r="L209"/>
  <c r="L208" s="1"/>
  <c r="L152"/>
  <c r="L129"/>
  <c r="L128" s="1"/>
  <c r="L127" s="1"/>
  <c r="L24"/>
  <c r="L23" s="1"/>
  <c r="L22" s="1"/>
  <c r="L150"/>
  <c r="L58"/>
  <c r="L115"/>
  <c r="L117"/>
  <c r="L90"/>
  <c r="L36"/>
  <c r="L173"/>
  <c r="L383"/>
  <c r="L428"/>
  <c r="L427" s="1"/>
  <c r="L426" s="1"/>
  <c r="L425" s="1"/>
  <c r="L289"/>
  <c r="L288" s="1"/>
  <c r="L112"/>
  <c r="L110"/>
  <c r="L107"/>
  <c r="L105"/>
  <c r="L48"/>
  <c r="L40"/>
  <c r="L171"/>
  <c r="L141"/>
  <c r="L13"/>
  <c r="L12" s="1"/>
  <c r="L11" s="1"/>
  <c r="L433"/>
  <c r="L432" s="1"/>
  <c r="L431" s="1"/>
  <c r="L430" s="1"/>
  <c r="L417"/>
  <c r="L404"/>
  <c r="L358"/>
  <c r="L133"/>
  <c r="L132" s="1"/>
  <c r="L131" s="1"/>
  <c r="L78"/>
  <c r="L28"/>
  <c r="L27" s="1"/>
  <c r="L26" s="1"/>
  <c r="L441"/>
  <c r="L293"/>
  <c r="L292" s="1"/>
  <c r="L291" s="1"/>
  <c r="L302"/>
  <c r="L270"/>
  <c r="L71"/>
  <c r="L70" s="1"/>
  <c r="L69" s="1"/>
  <c r="L193" l="1"/>
  <c r="L148"/>
  <c r="L147" s="1"/>
  <c r="L394"/>
  <c r="L393" s="1"/>
  <c r="L415"/>
  <c r="L414" s="1"/>
  <c r="L388"/>
  <c r="L387" s="1"/>
  <c r="L301"/>
  <c r="L300" s="1"/>
  <c r="L88"/>
  <c r="L87" s="1"/>
  <c r="L406"/>
  <c r="L254"/>
  <c r="L135"/>
  <c r="L450"/>
  <c r="L448" s="1"/>
  <c r="L239"/>
</calcChain>
</file>

<file path=xl/sharedStrings.xml><?xml version="1.0" encoding="utf-8"?>
<sst xmlns="http://schemas.openxmlformats.org/spreadsheetml/2006/main" count="1093" uniqueCount="481">
  <si>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</si>
  <si>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</si>
  <si>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</si>
  <si>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</si>
  <si>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</si>
  <si>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</si>
  <si>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</si>
  <si>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</si>
  <si>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</si>
  <si>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</si>
  <si>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</si>
  <si>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</si>
  <si>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</si>
  <si>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</si>
  <si>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</si>
  <si>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</si>
  <si>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</si>
  <si>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</si>
  <si>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</si>
  <si>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</si>
  <si>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</si>
  <si>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</si>
  <si>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</si>
  <si>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</si>
  <si>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</si>
  <si>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</si>
  <si>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</si>
  <si>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</si>
  <si>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</si>
  <si>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</si>
  <si>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</si>
  <si>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</si>
  <si>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</si>
  <si>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</si>
  <si>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</si>
  <si>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</si>
  <si>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</si>
  <si>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</si>
  <si>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</si>
  <si>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</si>
  <si>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</si>
  <si>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</si>
  <si>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</si>
  <si>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</si>
  <si>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</si>
  <si>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</si>
  <si>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</si>
  <si>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</si>
  <si>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</si>
  <si>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</si>
  <si>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</si>
  <si>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</si>
  <si>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</si>
  <si>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</si>
  <si>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</si>
  <si>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</si>
  <si>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</si>
  <si>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</si>
  <si>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</si>
  <si>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</si>
  <si>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</si>
  <si>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</si>
  <si>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</si>
  <si>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</si>
  <si>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</si>
  <si>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</si>
  <si>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</si>
  <si>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</si>
  <si>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</si>
  <si>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</si>
  <si>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</si>
  <si>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</si>
  <si>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</si>
  <si>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</si>
  <si>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</si>
  <si>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</si>
  <si>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</si>
  <si>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</si>
  <si>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</si>
  <si>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</si>
  <si>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</si>
  <si>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</si>
  <si>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</si>
  <si>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</si>
  <si>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</si>
  <si>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</si>
  <si>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</si>
  <si>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</si>
  <si>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</si>
  <si>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</si>
  <si>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</si>
  <si>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</si>
  <si>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</si>
  <si>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</si>
  <si>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</si>
  <si>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</si>
  <si>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</si>
  <si>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</si>
  <si>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</si>
  <si>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</si>
  <si>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</si>
  <si>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</si>
  <si>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</si>
  <si>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</si>
  <si>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</si>
  <si>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</si>
  <si>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</si>
  <si>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</si>
  <si>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</si>
  <si>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</si>
  <si>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</si>
  <si>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</si>
  <si>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</si>
  <si>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</si>
  <si>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</si>
  <si>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</si>
  <si>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</si>
  <si>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</si>
  <si>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</si>
  <si>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</si>
  <si>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</si>
  <si>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</si>
  <si>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</si>
  <si>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</si>
  <si>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</si>
  <si>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</si>
  <si>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</si>
  <si>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</si>
  <si>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</si>
  <si>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</si>
  <si>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</si>
  <si>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</si>
  <si>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</si>
  <si>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</si>
  <si>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</si>
  <si>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</si>
  <si>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</si>
  <si>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</si>
  <si>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</si>
  <si>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</si>
  <si>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</si>
  <si>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</si>
  <si>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</si>
  <si>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</si>
  <si>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</si>
  <si>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</si>
  <si>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</si>
  <si>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</si>
  <si>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</si>
  <si>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</si>
  <si>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</si>
  <si>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</si>
  <si>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</si>
  <si>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</si>
  <si>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</si>
  <si>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</si>
  <si>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>1100000000</t>
  </si>
  <si>
    <t>1100123110</t>
  </si>
  <si>
    <t>1100223120</t>
  </si>
  <si>
    <t>1100323130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</si>
  <si>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</si>
  <si>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</si>
  <si>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</si>
  <si>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</si>
  <si>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</si>
  <si>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</si>
  <si>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</si>
  <si>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</si>
  <si>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</si>
  <si>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</si>
  <si>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</si>
  <si>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</si>
  <si>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</si>
  <si>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</si>
  <si>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</si>
  <si>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</si>
  <si>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</si>
  <si>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</si>
  <si>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</si>
  <si>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</si>
  <si>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</si>
  <si>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</si>
  <si>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</si>
  <si>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</si>
  <si>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</si>
  <si>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</si>
  <si>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</si>
  <si>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</si>
  <si>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</si>
  <si>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</si>
  <si>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7001121105</t>
  </si>
  <si>
    <t>1900029000</t>
  </si>
  <si>
    <t xml:space="preserve">Уплата налогов, сборов и иных платежей
</t>
  </si>
  <si>
    <t>850</t>
  </si>
  <si>
    <t>1600245110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</si>
  <si>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</si>
  <si>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</si>
  <si>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</si>
  <si>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</si>
  <si>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</si>
  <si>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</si>
  <si>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</si>
  <si>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</si>
  <si>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</si>
  <si>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</si>
  <si>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</si>
  <si>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</si>
  <si>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</si>
  <si>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</si>
  <si>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</si>
  <si>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</si>
  <si>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</si>
  <si>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</si>
  <si>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</si>
  <si>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</si>
  <si>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2400025400</t>
  </si>
  <si>
    <t>Дополнительное образование детей</t>
  </si>
  <si>
    <t>0100041000</t>
  </si>
  <si>
    <t>410</t>
  </si>
  <si>
    <t>Бюджетные инвестиции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</si>
  <si>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</si>
  <si>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</si>
  <si>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</si>
  <si>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</si>
  <si>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</si>
  <si>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</si>
  <si>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</si>
  <si>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</si>
  <si>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</si>
  <si>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</si>
  <si>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</si>
  <si>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</si>
  <si>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</si>
  <si>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</si>
  <si>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</si>
  <si>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</si>
  <si>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</si>
  <si>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</si>
  <si>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</si>
  <si>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1000223200</t>
  </si>
  <si>
    <t>1000023000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</si>
  <si>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</si>
  <si>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</si>
  <si>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</si>
  <si>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</si>
  <si>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</si>
  <si>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</si>
  <si>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</si>
  <si>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</si>
  <si>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</si>
  <si>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</si>
  <si>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</si>
  <si>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</si>
  <si>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</si>
  <si>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</si>
  <si>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</si>
  <si>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</si>
  <si>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</si>
  <si>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</si>
  <si>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</si>
  <si>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</si>
  <si>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 xml:space="preserve">Обслуживание муниципального долга                          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</si>
  <si>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</si>
  <si>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</si>
  <si>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</si>
  <si>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</si>
  <si>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</si>
  <si>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</si>
  <si>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</si>
  <si>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</si>
  <si>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</si>
  <si>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</si>
  <si>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</si>
  <si>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0200620006</t>
  </si>
  <si>
    <t>2600000000</t>
  </si>
  <si>
    <t>Уплата налогов, сборов и иных платежей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</si>
  <si>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</si>
  <si>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</si>
  <si>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</si>
  <si>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Повышение уровня качества оказываемых услуг (выполняемых работ), повышение качества реализуемых товаров на территории  Махнёвского муниципального образования</t>
  </si>
  <si>
    <t>3100000000</t>
  </si>
  <si>
    <t>3100120100</t>
  </si>
  <si>
    <t>0900720107</t>
  </si>
  <si>
    <t xml:space="preserve">Муниципальная программа «Управление муниципальными финансами Махнёвского муниципального образования  до 2021 года»  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</si>
  <si>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2014 - 2021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</si>
  <si>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2014-2021 годы"</t>
  </si>
  <si>
    <t>Муниципальная программа "Обеспечение пожарной безопасности Махнёвского муниципального образования на 2014-2021гг."</t>
  </si>
  <si>
    <t xml:space="preserve">Муниципальная программа «Развитие физической культуры и  спорта, патриотическое воспитание граждан в Махнёвском муниципальном образовании на 2014-2024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</si>
  <si>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2014-2021 годы" </t>
  </si>
  <si>
    <t xml:space="preserve">Муниципальная программа «Развитие информационного общества на территории  Махнёвском муниципальном образовании  на 2014-2021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</si>
  <si>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2014-2021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</si>
  <si>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2014-2021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</si>
  <si>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2014-2021 годы»</t>
  </si>
  <si>
    <t xml:space="preserve">Муниципальная программа «Экология и природные ресурсы Махнёвского муниципального образования на 2014 - 2021 годы» </t>
  </si>
  <si>
    <t>Муниципальная программа "О дополнительных мерах социальной поддержки населения Махнёвского муниципального образования на 2014-2021 годы"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</si>
  <si>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2021 года"</t>
  </si>
  <si>
    <t>2100000000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</si>
  <si>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</si>
  <si>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0100120013</t>
  </si>
  <si>
    <t>0100220014</t>
  </si>
  <si>
    <t xml:space="preserve">Муниципальная программа «Управление муниципальными финансами Махнёвского муниципального образования  до 2021 года» 
</t>
  </si>
  <si>
    <t>Обеспечение реализации муниципальной программы «Управление муниципальными финансами Махнёвского муниципального образования  до 2021года"</t>
  </si>
  <si>
    <t>7001021108</t>
  </si>
  <si>
    <t>Субсидии некомерческим организациям (за исключением государственных (муниципальных) учреждений)</t>
  </si>
  <si>
    <t>Субсидии некоммерческим организациям (за исключением государственных (муниципальных) учреждений)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</si>
  <si>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</si>
  <si>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Предупреждение опасного поведения детей дошкольного и школьного возраста, участников дорожного движения</t>
  </si>
  <si>
    <t>Создание комплексной системы профилактики ДТП в целях формирования у участников дорожного движения стереотипа законопослушного поведения и негативного отношения к правонарушениям в сфере дорожного движения, реализация программы правового воспитания участников дорожного движения, культуры их поведения</t>
  </si>
  <si>
    <t>Совершенствование системы профилактики детского дорожно-транспортного травматизма, формирование у детей навыков безопасного поведения на дорогах</t>
  </si>
  <si>
    <t>3200000000</t>
  </si>
  <si>
    <t>3200121314</t>
  </si>
  <si>
    <t>3200222314</t>
  </si>
  <si>
    <t>3200323314</t>
  </si>
  <si>
    <t xml:space="preserve">Ремонт автомобильных дорог общего пользования местного значения </t>
  </si>
  <si>
    <t>0900420104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</si>
  <si>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</si>
  <si>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Разработка (актуализация) программы комплексного развития транспортной инфраструктуры</t>
  </si>
  <si>
    <t>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</t>
  </si>
  <si>
    <t>Применение информационно-телекоммуникационных технологий в деятельности органов местного самоуправления и формирование электронного правительства Свердловской области</t>
  </si>
  <si>
    <t>Повышение компьютерной грамотности и доступности информационных ресурсов для граждан Махнёвского муниципального образования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</si>
  <si>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</si>
  <si>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</si>
  <si>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 (лицензирование программы «Барс – Реестр»)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</si>
  <si>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</si>
  <si>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Содействие продвижению выпускаемой продукции субъектами малого и среднего предпринимательства</t>
  </si>
  <si>
    <t>Формирование благоприятной среды для развития малого и среднего предпринимательства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</si>
  <si>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</si>
  <si>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Подготовка документации по планировке и межеванию территории 200000 кв.м.  для размещения малоэтажной жилой застройки</t>
  </si>
  <si>
    <t>1200323130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</si>
  <si>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</si>
  <si>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Проведение работ по описанию местоположения границ населенных пунктов и территориальных зон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</si>
  <si>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</si>
  <si>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</si>
  <si>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</si>
  <si>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3100220100</t>
  </si>
  <si>
    <t>Муниципальная программа «Энергосбережение и повышение энергетической эффективности Махнёвского МО на 2018-2024 годы»</t>
  </si>
  <si>
    <t>Обеспечение учета используемых энергетических ресурсов и применения приборов учета используемых энергетических ресурсов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</si>
  <si>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п.Калач )  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</si>
  <si>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</t>
  </si>
  <si>
    <t>3300000000</t>
  </si>
  <si>
    <t>3300121502</t>
  </si>
  <si>
    <t>3300221502</t>
  </si>
  <si>
    <t>3300321502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</si>
  <si>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</si>
  <si>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</si>
  <si>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</si>
  <si>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</si>
  <si>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Обеспечение эксплуатации источников централизованного питьевого водоснабжения в соответствии с законодательством, санитарным правилам и нормативами</t>
  </si>
  <si>
    <t>1300623760</t>
  </si>
  <si>
    <t>1300742700</t>
  </si>
  <si>
    <t xml:space="preserve">Муниципальная программа  «Устойчивое развитие сельских территорий Махнёвского муниципального образования                 до 2024 года» 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</si>
  <si>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</si>
  <si>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</si>
  <si>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</si>
  <si>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</si>
  <si>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1600325200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</si>
  <si>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</si>
  <si>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</si>
  <si>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</si>
  <si>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</si>
  <si>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</si>
  <si>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1600545400</t>
  </si>
  <si>
    <t>Введение новых мест в общеобразовательных организациях Махнёвского муниципального образования путем строительства пристроя к МКОУ «Махнёвская средняя общеобразовательная школа»</t>
  </si>
  <si>
    <t>Развитие системы дополнительного образования, отдыха и оздоровления детей в Махнёвском муниципальном образовании</t>
  </si>
  <si>
    <t>1600625300</t>
  </si>
  <si>
    <t>1600625310</t>
  </si>
  <si>
    <t>Организация 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</si>
  <si>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Организация отдыха детей в каникулярное время, включая мероприятия по обеспечению безопасности их жизни и здоровья</t>
  </si>
  <si>
    <t>1600700000</t>
  </si>
  <si>
    <t>1600725320</t>
  </si>
  <si>
    <t>1600745500</t>
  </si>
  <si>
    <t>1600745600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</si>
  <si>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</si>
  <si>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2000129100</t>
  </si>
  <si>
    <t>2900121300</t>
  </si>
  <si>
    <t xml:space="preserve"> Стабилизация и снижение заболеваемости и смертности от туберкулёза в Махнёвском муниципальном образовании</t>
  </si>
  <si>
    <t>Организация обследования населения на туберкулёз с наибольшим охватом групп повышенного риска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</si>
  <si>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</si>
  <si>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</si>
  <si>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3000220300</t>
  </si>
  <si>
    <t>3000320300</t>
  </si>
  <si>
    <t>7000729200</t>
  </si>
  <si>
    <t>622</t>
  </si>
  <si>
    <t>Субсидии автономным учреждениям на иные цели</t>
  </si>
  <si>
    <t xml:space="preserve">Муниципальная программа «Общегосударственные вопросы на территории Махнёвского муниципального образования на 2014-2021 годы» 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</si>
  <si>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</si>
  <si>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>0600222200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</si>
  <si>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</si>
  <si>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</si>
  <si>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</si>
  <si>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</si>
  <si>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</si>
  <si>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Муниципальная программа "Социальная поддержка населения Махнёвского МО на 2014-2021 годы"</t>
  </si>
  <si>
    <t>1800149100</t>
  </si>
  <si>
    <t>1800249200</t>
  </si>
  <si>
    <t>Современная диагностика  и повышение эффективности лечения больных туберкулёзом</t>
  </si>
  <si>
    <t xml:space="preserve">Субвенций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 </t>
  </si>
  <si>
    <t>18003R4620</t>
  </si>
  <si>
    <t xml:space="preserve">Разработка документации по планировке территории </t>
  </si>
  <si>
    <t>1200343600</t>
  </si>
  <si>
    <t>1200000000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</si>
  <si>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</t>
  </si>
  <si>
    <t>2600143800</t>
  </si>
  <si>
    <t>Субсидии бюджетным учреждениям</t>
  </si>
  <si>
    <t>610</t>
  </si>
  <si>
    <t>Исполнение судебных актов</t>
  </si>
  <si>
    <t>Оплата административных штрафов по Постановлениям Роспотребнадзора Свердловской области за нарушение санитарно-эпидемиологических требований</t>
  </si>
  <si>
    <t>7001221106</t>
  </si>
  <si>
    <t>7001321107</t>
  </si>
  <si>
    <t>Реконструкция жилищного фонда</t>
  </si>
  <si>
    <t>1300823300</t>
  </si>
  <si>
    <t>Другие вопросы в области образования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</si>
  <si>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</si>
  <si>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>29001L4970</t>
  </si>
  <si>
    <t>2900100000</t>
  </si>
  <si>
    <t>Организация и проведение военно-спортивных игр, военно-спортивных мероприятий</t>
  </si>
  <si>
    <t>0700148700</t>
  </si>
  <si>
    <t>0700100000</t>
  </si>
  <si>
    <t>Внесение изменений в Генеральные планы и правила землепользования и застройки Махнёвского МО</t>
  </si>
  <si>
    <t>1200123110</t>
  </si>
  <si>
    <t xml:space="preserve"> Исполнение судебных актов
</t>
  </si>
  <si>
    <t>830</t>
  </si>
  <si>
    <t xml:space="preserve">Исполнительский сбор по Постановленниям  УФССП по Свердловской области </t>
  </si>
  <si>
    <t>7001421108</t>
  </si>
  <si>
    <t>Алапаевская районная избирательная комиссия</t>
  </si>
  <si>
    <t>Обеспечение проведения выборов и референдумов</t>
  </si>
  <si>
    <t xml:space="preserve">Обеспечение проведения выборов </t>
  </si>
  <si>
    <t>7000021000</t>
  </si>
  <si>
    <r>
      <t>Муниципальная программа  «Развитие транспорта, дорожного хозяйства на территории Махнёвского муниципального образования на 2014-2021 годы»</t>
    </r>
    <r>
      <rPr>
        <sz val="14"/>
        <color indexed="10"/>
        <rFont val="Liberation Serif"/>
        <family val="1"/>
        <charset val="204"/>
      </rPr>
      <t xml:space="preserve"> </t>
    </r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</si>
  <si>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</si>
  <si>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</si>
  <si>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</si>
  <si>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20001L5670</t>
  </si>
  <si>
    <t xml:space="preserve">Муниципальная программа  «Устойчивое развитие сельских территорий Махнёвского муниципального образования до 2024 года» </t>
  </si>
  <si>
    <t>Организация захоронения бесхозных трупов</t>
  </si>
  <si>
    <t>1900129000</t>
  </si>
  <si>
    <t xml:space="preserve">Организация деятельности муниципальных музеев, приобретение и хранение музейных предметов и музейных коллекций (поощрение лучшим муниципальным учреждениям культуры)  </t>
  </si>
  <si>
    <t>17003L5190</t>
  </si>
  <si>
    <t>Приобретение беговой дорожки и детской футбольной формы</t>
  </si>
  <si>
    <t>0700340700</t>
  </si>
  <si>
    <t>Исполнение муниципальных гарантий</t>
  </si>
  <si>
    <t>Предоставление муниципальных гарантий                                   (стимулирование МО)</t>
  </si>
  <si>
    <t>7001540500</t>
  </si>
  <si>
    <t>843</t>
  </si>
  <si>
    <t>Повышение энергетической эффективности в системах коммунальной инфраструктуры (мероприятия направленные на сокращение объёмов электрической энергии, используемой в системах водоотведения) (стимулирование МО)</t>
  </si>
  <si>
    <t>3300340500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</si>
  <si>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 (стимулирование МО)</t>
  </si>
  <si>
    <t>1300540500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</si>
  <si>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 (стимулирование МО)</t>
  </si>
  <si>
    <t>1600340500</t>
  </si>
  <si>
    <t>Организация отдыха и оздоровление детей и подростков в Махнёвском муниципальном образовании (стимулирование МО)</t>
  </si>
  <si>
    <t>1600740500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</si>
  <si>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 (стимулирование МО)</t>
  </si>
  <si>
    <t>0400140500</t>
  </si>
  <si>
    <t>Повышение энергетической эффективности в жилищном фонде (мероприятия направленные на  энергосбережение, модернизацию объектов коммунальной инфраструктуры, техническое обслуживание газопроводов, энергообеспечение п.Калач )  (стимулирование МО)</t>
  </si>
  <si>
    <t>3300240500</t>
  </si>
  <si>
    <t>Организация деятельности учреждений культуры и культурно-досуговой сферы (стимулирование МО)</t>
  </si>
  <si>
    <t>1700140500</t>
  </si>
  <si>
    <t>Обслуживание подъездов к источникам пожаротушения (строительство пирсов в населённых пунктах) (стимулирование МО)</t>
  </si>
  <si>
    <t>0600440500</t>
  </si>
  <si>
    <t xml:space="preserve"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 </t>
  </si>
  <si>
    <t>1700245192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</si>
  <si>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 (стимулирование МО)</t>
  </si>
  <si>
    <t>1600140500</t>
  </si>
  <si>
    <t>1600100000</t>
  </si>
  <si>
    <t>Муниципальная программа "Формирование современной городской среды  на 2018-2024 годы"</t>
  </si>
  <si>
    <t xml:space="preserve">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в 2019 году </t>
  </si>
  <si>
    <t>1700246500</t>
  </si>
  <si>
    <t>1700346500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</si>
  <si>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(стимулирование МО)   </t>
  </si>
  <si>
    <t>0100740500</t>
  </si>
  <si>
    <t>Осуществление обслуживания органов местного самоуправления (стимулирование МО)</t>
  </si>
  <si>
    <t>0100140500</t>
  </si>
  <si>
    <t xml:space="preserve">% исполнения к году </t>
  </si>
  <si>
    <t xml:space="preserve">Информация об исполнении ведомственной структуры расходов бюджета Махнёвского муниципального образования по главным распорядителям за 2019 год </t>
  </si>
  <si>
    <t>Приложение № 4</t>
  </si>
  <si>
    <t>Сумма средств, предусмотренная на 2019 год  решением Думы о бюджете, в тыс. руб.</t>
  </si>
  <si>
    <t>Утвержденные бюджетные назначения с учетом уточнения на 2019 год, тыс. руб.</t>
  </si>
  <si>
    <t>Исполненно за 2019 год</t>
  </si>
  <si>
    <r>
      <rPr>
        <sz val="12"/>
        <rFont val="Liberation Serif"/>
        <family val="1"/>
        <charset val="204"/>
      </rPr>
      <t xml:space="preserve">Глава Махнёвского муниципального образования                                                                                                                                                 А.В.Лызлов  </t>
    </r>
    <r>
      <rPr>
        <b/>
        <sz val="12"/>
        <rFont val="Liberation Serif"/>
        <family val="1"/>
        <charset val="204"/>
      </rPr>
      <t xml:space="preserve">                                                        </t>
    </r>
  </si>
  <si>
    <t xml:space="preserve"> от 29.07.2020 № 502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</si>
</sst>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.5"/>
      <name val="Liberation Serif"/>
      <family val="1"/>
      <charset val="204"/>
    </font>
    <font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10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0" fontId="7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 shrinkToFit="1"/>
    </xf>
    <xf numFmtId="0" fontId="8" fillId="0" borderId="0" xfId="0" applyFont="1" applyAlignment="1">
      <alignment horizontal="right" vertical="center" wrapText="1" shrinkToFit="1"/>
    </xf>
    <xf numFmtId="0" fontId="8" fillId="4" borderId="0" xfId="0" applyFont="1" applyFill="1"/>
    <xf numFmtId="0" fontId="7" fillId="4" borderId="1" xfId="0" applyFont="1" applyFill="1" applyBorder="1" applyAlignment="1">
      <alignment horizontal="center" vertical="center" textRotation="90" wrapText="1"/>
    </xf>
    <xf numFmtId="166" fontId="7" fillId="4" borderId="1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/>
    </xf>
    <xf numFmtId="165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166" fontId="8" fillId="4" borderId="3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166" fontId="7" fillId="4" borderId="1" xfId="0" applyNumberFormat="1" applyFont="1" applyFill="1" applyBorder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 shrinkToFit="1"/>
    </xf>
    <xf numFmtId="166" fontId="7" fillId="4" borderId="2" xfId="0" applyNumberFormat="1" applyFont="1" applyFill="1" applyBorder="1" applyAlignment="1">
      <alignment horizontal="center" vertical="center"/>
    </xf>
    <xf numFmtId="49" fontId="7" fillId="4" borderId="1" xfId="2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 shrinkToFit="1"/>
    </xf>
    <xf numFmtId="0" fontId="8" fillId="4" borderId="2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3" borderId="0" xfId="0" applyFont="1" applyFill="1" applyAlignment="1"/>
    <xf numFmtId="0" fontId="13" fillId="0" borderId="0" xfId="0" applyFont="1" applyAlignment="1"/>
    <xf numFmtId="0" fontId="8" fillId="0" borderId="0" xfId="0" applyFont="1"/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Fill="1" applyAlignment="1">
      <alignment vertical="center"/>
    </xf>
    <xf numFmtId="0" fontId="8" fillId="0" borderId="0" xfId="0" applyFont="1" applyFill="1"/>
    <xf numFmtId="166" fontId="8" fillId="5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166" fontId="16" fillId="0" borderId="2" xfId="0" applyNumberFormat="1" applyFont="1" applyBorder="1" applyAlignment="1">
      <alignment horizontal="center" vertical="center" wrapText="1"/>
    </xf>
    <xf numFmtId="0" fontId="7" fillId="0" borderId="0" xfId="0" applyFont="1"/>
    <xf numFmtId="0" fontId="17" fillId="0" borderId="0" xfId="0" applyFont="1"/>
    <xf numFmtId="0" fontId="7" fillId="0" borderId="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 vertical="center" wrapText="1"/>
    </xf>
    <xf numFmtId="0" fontId="15" fillId="0" borderId="6" xfId="0" applyFont="1" applyFill="1" applyBorder="1" applyAlignment="1"/>
    <xf numFmtId="0" fontId="13" fillId="0" borderId="7" xfId="0" applyFont="1" applyBorder="1" applyAlignment="1"/>
    <xf numFmtId="0" fontId="13" fillId="0" borderId="5" xfId="0" applyFont="1" applyBorder="1" applyAlignment="1">
      <alignment horizontal="center" vertical="center" wrapText="1" shrinkToFit="1"/>
    </xf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7"/>
  <sheetViews>
    <sheetView tabSelected="1" zoomScaleNormal="100" workbookViewId="0">
      <selection activeCell="C4" sqref="C4:L4"/>
    </sheetView>
  </sheetViews>
  <sheetFormatPr defaultRowHeight="12.75"/>
  <cols>
    <col min="1" max="1" width="4.28515625" customWidth="1"/>
    <col min="2" max="2" width="61.5703125" style="6" customWidth="1"/>
    <col min="3" max="3" width="4.5703125" style="3" customWidth="1"/>
    <col min="4" max="4" width="7.7109375" style="7" customWidth="1"/>
    <col min="5" max="5" width="12" style="7" customWidth="1"/>
    <col min="6" max="6" width="7" style="7" customWidth="1"/>
    <col min="7" max="7" width="9.5703125" style="2" hidden="1" customWidth="1"/>
    <col min="8" max="8" width="0" hidden="1" customWidth="1"/>
    <col min="9" max="9" width="15.28515625" customWidth="1"/>
    <col min="10" max="10" width="15.140625" customWidth="1"/>
    <col min="11" max="11" width="12.7109375" customWidth="1"/>
    <col min="12" max="12" width="13.7109375" style="1" customWidth="1"/>
    <col min="13" max="15" width="9.140625" hidden="1" customWidth="1"/>
  </cols>
  <sheetData>
    <row r="1" spans="1:15" ht="12.75" customHeight="1">
      <c r="A1" s="18"/>
      <c r="B1" s="19"/>
      <c r="C1" s="106" t="s">
        <v>475</v>
      </c>
      <c r="D1" s="106"/>
      <c r="E1" s="106"/>
      <c r="F1" s="106"/>
      <c r="G1" s="106"/>
      <c r="H1" s="106"/>
      <c r="I1" s="106"/>
      <c r="J1" s="106"/>
      <c r="K1" s="106"/>
      <c r="L1" s="106"/>
      <c r="M1" s="78"/>
      <c r="N1" s="78"/>
      <c r="O1" s="78"/>
    </row>
    <row r="2" spans="1:15" ht="12.75" customHeight="1">
      <c r="A2" s="18"/>
      <c r="B2" s="19"/>
      <c r="C2" s="106" t="s">
        <v>32</v>
      </c>
      <c r="D2" s="106"/>
      <c r="E2" s="106"/>
      <c r="F2" s="106"/>
      <c r="G2" s="106"/>
      <c r="H2" s="106"/>
      <c r="I2" s="106"/>
      <c r="J2" s="106"/>
      <c r="K2" s="106"/>
      <c r="L2" s="106"/>
      <c r="M2" s="78"/>
      <c r="N2" s="78"/>
      <c r="O2" s="78"/>
    </row>
    <row r="3" spans="1:15" ht="12.75" customHeight="1">
      <c r="A3" s="18"/>
      <c r="B3" s="19"/>
      <c r="C3" s="106" t="s">
        <v>55</v>
      </c>
      <c r="D3" s="106"/>
      <c r="E3" s="106"/>
      <c r="F3" s="106"/>
      <c r="G3" s="106"/>
      <c r="H3" s="106"/>
      <c r="I3" s="106"/>
      <c r="J3" s="106"/>
      <c r="K3" s="106"/>
      <c r="L3" s="106"/>
      <c r="M3" s="78"/>
      <c r="N3" s="78"/>
      <c r="O3" s="78"/>
    </row>
    <row r="4" spans="1:15" ht="12.75" customHeight="1">
      <c r="A4" s="18"/>
      <c r="B4" s="19"/>
      <c r="C4" s="106" t="s">
        <v>480</v>
      </c>
      <c r="D4" s="106"/>
      <c r="E4" s="106"/>
      <c r="F4" s="106"/>
      <c r="G4" s="106"/>
      <c r="H4" s="106"/>
      <c r="I4" s="106"/>
      <c r="J4" s="106"/>
      <c r="K4" s="106"/>
      <c r="L4" s="106"/>
      <c r="M4" s="78"/>
      <c r="N4" s="78"/>
      <c r="O4" s="78"/>
    </row>
    <row r="5" spans="1:15" ht="0.75" customHeight="1">
      <c r="A5" s="18"/>
      <c r="B5" s="20"/>
      <c r="C5" s="98"/>
      <c r="D5" s="98"/>
      <c r="E5" s="98"/>
      <c r="F5" s="98"/>
      <c r="G5" s="98"/>
      <c r="H5" s="98"/>
      <c r="I5" s="98"/>
      <c r="J5" s="98"/>
      <c r="K5" s="98"/>
      <c r="L5" s="21"/>
      <c r="M5" s="78"/>
      <c r="N5" s="78"/>
      <c r="O5" s="78"/>
    </row>
    <row r="6" spans="1:15" ht="38.25" customHeight="1">
      <c r="A6" s="109" t="s">
        <v>474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08">
      <c r="A7" s="22" t="s">
        <v>0</v>
      </c>
      <c r="B7" s="14" t="s">
        <v>109</v>
      </c>
      <c r="C7" s="22" t="s">
        <v>49</v>
      </c>
      <c r="D7" s="22" t="s">
        <v>1</v>
      </c>
      <c r="E7" s="22" t="s">
        <v>2</v>
      </c>
      <c r="F7" s="22" t="s">
        <v>3</v>
      </c>
      <c r="G7" s="23" t="s">
        <v>50</v>
      </c>
      <c r="H7" s="24" t="s">
        <v>50</v>
      </c>
      <c r="I7" s="99" t="s">
        <v>476</v>
      </c>
      <c r="J7" s="100" t="s">
        <v>477</v>
      </c>
      <c r="K7" s="99" t="s">
        <v>478</v>
      </c>
      <c r="L7" s="99" t="s">
        <v>473</v>
      </c>
      <c r="M7" s="78"/>
      <c r="N7" s="78"/>
      <c r="O7" s="78"/>
    </row>
    <row r="8" spans="1:15">
      <c r="A8" s="25"/>
      <c r="B8" s="14"/>
      <c r="C8" s="26"/>
      <c r="D8" s="26"/>
      <c r="E8" s="26"/>
      <c r="F8" s="26"/>
      <c r="G8" s="24"/>
      <c r="H8" s="24"/>
      <c r="I8" s="24"/>
      <c r="J8" s="24"/>
      <c r="K8" s="24"/>
      <c r="L8" s="24"/>
      <c r="M8" s="78"/>
      <c r="N8" s="78"/>
      <c r="O8" s="78"/>
    </row>
    <row r="9" spans="1:15" ht="26.25" customHeight="1">
      <c r="A9" s="27">
        <v>1</v>
      </c>
      <c r="B9" s="28" t="s">
        <v>200</v>
      </c>
      <c r="C9" s="27">
        <v>901</v>
      </c>
      <c r="D9" s="27"/>
      <c r="E9" s="27"/>
      <c r="F9" s="29"/>
      <c r="G9" s="29"/>
      <c r="H9" s="29"/>
      <c r="I9" s="23">
        <f>SUM(I10+I69+I75+I126+I199+I248+I253+I325+I355+I414+I425+I430)</f>
        <v>365026.26199999999</v>
      </c>
      <c r="J9" s="23">
        <f>SUM(J10+J69+J75+J126+J199+J248+J253+J325+J355+J414+J425+J430)</f>
        <v>377316.80400000006</v>
      </c>
      <c r="K9" s="23">
        <f>SUM(K10+K69+K75+K126+K199+K248+K253+K325+K355+K414+K425+K430)</f>
        <v>354826.10900000005</v>
      </c>
      <c r="L9" s="23">
        <f>K9/J9*100</f>
        <v>94.039307350859474</v>
      </c>
      <c r="M9" s="78"/>
      <c r="N9" s="78"/>
      <c r="O9" s="78"/>
    </row>
    <row r="10" spans="1:15">
      <c r="A10" s="27">
        <v>2</v>
      </c>
      <c r="B10" s="14" t="s">
        <v>4</v>
      </c>
      <c r="C10" s="27">
        <v>901</v>
      </c>
      <c r="D10" s="30">
        <v>100</v>
      </c>
      <c r="E10" s="31"/>
      <c r="F10" s="32"/>
      <c r="G10" s="33"/>
      <c r="H10" s="33"/>
      <c r="I10" s="34">
        <f>SUM(I11+I15+I22+I26+I30)</f>
        <v>42518.614999999998</v>
      </c>
      <c r="J10" s="34">
        <f>SUM(J11+J15+J22+J26+J30)</f>
        <v>52601.777000000002</v>
      </c>
      <c r="K10" s="34">
        <f>SUM(K11+K15+K22+K26+K30)</f>
        <v>51745.311000000002</v>
      </c>
      <c r="L10" s="34">
        <f>K10/J10*100</f>
        <v>98.371792648754052</v>
      </c>
      <c r="M10" s="78"/>
      <c r="N10" s="78"/>
      <c r="O10" s="78"/>
    </row>
    <row r="11" spans="1:15" ht="25.5">
      <c r="A11" s="27">
        <v>3</v>
      </c>
      <c r="B11" s="14" t="s">
        <v>121</v>
      </c>
      <c r="C11" s="27">
        <v>901</v>
      </c>
      <c r="D11" s="30">
        <v>102</v>
      </c>
      <c r="E11" s="31"/>
      <c r="F11" s="32"/>
      <c r="G11" s="33"/>
      <c r="H11" s="33"/>
      <c r="I11" s="34">
        <f t="shared" ref="I11:L13" si="0">SUM(I12)</f>
        <v>1294.24</v>
      </c>
      <c r="J11" s="34">
        <f t="shared" si="0"/>
        <v>1294.2</v>
      </c>
      <c r="K11" s="34">
        <f t="shared" si="0"/>
        <v>1279.5</v>
      </c>
      <c r="L11" s="34">
        <f t="shared" si="0"/>
        <v>98.864163189615212</v>
      </c>
      <c r="M11" s="78"/>
      <c r="N11" s="78"/>
      <c r="O11" s="78"/>
    </row>
    <row r="12" spans="1:15" ht="18.75" customHeight="1">
      <c r="A12" s="27">
        <v>4</v>
      </c>
      <c r="B12" s="14" t="s">
        <v>63</v>
      </c>
      <c r="C12" s="27">
        <v>901</v>
      </c>
      <c r="D12" s="30">
        <v>102</v>
      </c>
      <c r="E12" s="31">
        <v>7000000000</v>
      </c>
      <c r="F12" s="32"/>
      <c r="G12" s="33"/>
      <c r="H12" s="33"/>
      <c r="I12" s="34">
        <f t="shared" si="0"/>
        <v>1294.24</v>
      </c>
      <c r="J12" s="34">
        <f t="shared" si="0"/>
        <v>1294.2</v>
      </c>
      <c r="K12" s="34">
        <f t="shared" si="0"/>
        <v>1279.5</v>
      </c>
      <c r="L12" s="34">
        <f t="shared" si="0"/>
        <v>98.864163189615212</v>
      </c>
      <c r="M12" s="78"/>
      <c r="N12" s="78"/>
      <c r="O12" s="78"/>
    </row>
    <row r="13" spans="1:15" ht="16.5" customHeight="1">
      <c r="A13" s="27">
        <v>5</v>
      </c>
      <c r="B13" s="14" t="s">
        <v>119</v>
      </c>
      <c r="C13" s="27">
        <v>901</v>
      </c>
      <c r="D13" s="30">
        <v>102</v>
      </c>
      <c r="E13" s="31">
        <v>7000121100</v>
      </c>
      <c r="F13" s="32"/>
      <c r="G13" s="33"/>
      <c r="H13" s="33"/>
      <c r="I13" s="34">
        <f t="shared" si="0"/>
        <v>1294.24</v>
      </c>
      <c r="J13" s="34">
        <f t="shared" si="0"/>
        <v>1294.2</v>
      </c>
      <c r="K13" s="34">
        <f t="shared" si="0"/>
        <v>1279.5</v>
      </c>
      <c r="L13" s="34">
        <f t="shared" si="0"/>
        <v>98.864163189615212</v>
      </c>
      <c r="M13" s="78"/>
      <c r="N13" s="78"/>
      <c r="O13" s="78"/>
    </row>
    <row r="14" spans="1:15" ht="25.5">
      <c r="A14" s="27">
        <v>6</v>
      </c>
      <c r="B14" s="13" t="s">
        <v>197</v>
      </c>
      <c r="C14" s="29">
        <v>901</v>
      </c>
      <c r="D14" s="35">
        <v>102</v>
      </c>
      <c r="E14" s="32">
        <v>7000121100</v>
      </c>
      <c r="F14" s="32">
        <v>120</v>
      </c>
      <c r="G14" s="33"/>
      <c r="H14" s="33"/>
      <c r="I14" s="36">
        <v>1294.24</v>
      </c>
      <c r="J14" s="36">
        <v>1294.2</v>
      </c>
      <c r="K14" s="36">
        <v>1279.5</v>
      </c>
      <c r="L14" s="36">
        <f>K14/J14*100</f>
        <v>98.864163189615212</v>
      </c>
      <c r="M14" s="78"/>
      <c r="N14" s="78"/>
      <c r="O14" s="78"/>
    </row>
    <row r="15" spans="1:15" ht="43.5" customHeight="1">
      <c r="A15" s="27">
        <v>7</v>
      </c>
      <c r="B15" s="14" t="s">
        <v>29</v>
      </c>
      <c r="C15" s="27">
        <v>901</v>
      </c>
      <c r="D15" s="15">
        <v>104</v>
      </c>
      <c r="E15" s="12"/>
      <c r="F15" s="17"/>
      <c r="G15" s="37"/>
      <c r="H15" s="37"/>
      <c r="I15" s="38">
        <f>I16</f>
        <v>15704</v>
      </c>
      <c r="J15" s="38">
        <f>J16</f>
        <v>15873.017</v>
      </c>
      <c r="K15" s="38">
        <f>K16</f>
        <v>15666.800000000001</v>
      </c>
      <c r="L15" s="38">
        <f>K15/J15*100</f>
        <v>98.700832992240862</v>
      </c>
      <c r="M15" s="78"/>
      <c r="N15" s="78"/>
      <c r="O15" s="78"/>
    </row>
    <row r="16" spans="1:15">
      <c r="A16" s="27">
        <v>8</v>
      </c>
      <c r="B16" s="14" t="s">
        <v>63</v>
      </c>
      <c r="C16" s="27">
        <v>901</v>
      </c>
      <c r="D16" s="15">
        <v>104</v>
      </c>
      <c r="E16" s="12" t="s">
        <v>123</v>
      </c>
      <c r="F16" s="17"/>
      <c r="G16" s="37"/>
      <c r="H16" s="37"/>
      <c r="I16" s="38">
        <f>SUM(I17+I19)</f>
        <v>15704</v>
      </c>
      <c r="J16" s="38">
        <f>SUM(J17+J19)</f>
        <v>15873.017</v>
      </c>
      <c r="K16" s="38">
        <f>SUM(K17+K19)</f>
        <v>15666.800000000001</v>
      </c>
      <c r="L16" s="38">
        <f>K16/J16*100</f>
        <v>98.700832992240862</v>
      </c>
      <c r="M16" s="78"/>
      <c r="N16" s="78"/>
      <c r="O16" s="78"/>
    </row>
    <row r="17" spans="1:41" ht="25.5">
      <c r="A17" s="27">
        <v>9</v>
      </c>
      <c r="B17" s="14" t="s">
        <v>64</v>
      </c>
      <c r="C17" s="27">
        <v>901</v>
      </c>
      <c r="D17" s="15">
        <v>104</v>
      </c>
      <c r="E17" s="12" t="s">
        <v>123</v>
      </c>
      <c r="F17" s="17"/>
      <c r="G17" s="37"/>
      <c r="H17" s="37"/>
      <c r="I17" s="38">
        <f>SUM(I18:I18)</f>
        <v>12188</v>
      </c>
      <c r="J17" s="38">
        <f>SUM(J18:J18)</f>
        <v>12225.5</v>
      </c>
      <c r="K17" s="38">
        <f>SUM(K18:K18)</f>
        <v>12045.7</v>
      </c>
      <c r="L17" s="38">
        <f>SUM(L18:L18)</f>
        <v>98.529303504969121</v>
      </c>
      <c r="M17" s="78"/>
      <c r="N17" s="78"/>
      <c r="O17" s="78"/>
    </row>
    <row r="18" spans="1:41" ht="25.5">
      <c r="A18" s="27">
        <v>10</v>
      </c>
      <c r="B18" s="13" t="s">
        <v>197</v>
      </c>
      <c r="C18" s="29">
        <v>901</v>
      </c>
      <c r="D18" s="16">
        <v>104</v>
      </c>
      <c r="E18" s="17" t="s">
        <v>123</v>
      </c>
      <c r="F18" s="17" t="s">
        <v>43</v>
      </c>
      <c r="G18" s="37"/>
      <c r="H18" s="37"/>
      <c r="I18" s="39">
        <v>12188</v>
      </c>
      <c r="J18" s="39">
        <f>12188+37.5</f>
        <v>12225.5</v>
      </c>
      <c r="K18" s="39">
        <v>12045.7</v>
      </c>
      <c r="L18" s="39">
        <f>K18/J18*100</f>
        <v>98.529303504969121</v>
      </c>
      <c r="M18" s="78"/>
      <c r="N18" s="78"/>
      <c r="O18" s="78"/>
    </row>
    <row r="19" spans="1:41">
      <c r="A19" s="27">
        <v>11</v>
      </c>
      <c r="B19" s="14" t="s">
        <v>63</v>
      </c>
      <c r="C19" s="27">
        <v>901</v>
      </c>
      <c r="D19" s="15">
        <v>104</v>
      </c>
      <c r="E19" s="12" t="s">
        <v>124</v>
      </c>
      <c r="F19" s="12"/>
      <c r="G19" s="37"/>
      <c r="H19" s="37"/>
      <c r="I19" s="38">
        <f t="shared" ref="I19:L20" si="1">I20</f>
        <v>3516</v>
      </c>
      <c r="J19" s="38">
        <f t="shared" si="1"/>
        <v>3647.5169999999998</v>
      </c>
      <c r="K19" s="38">
        <f t="shared" si="1"/>
        <v>3621.1</v>
      </c>
      <c r="L19" s="38">
        <f t="shared" si="1"/>
        <v>99.275753889563774</v>
      </c>
      <c r="M19" s="78"/>
      <c r="N19" s="78"/>
      <c r="O19" s="78"/>
    </row>
    <row r="20" spans="1:41" ht="25.5">
      <c r="A20" s="27">
        <v>12</v>
      </c>
      <c r="B20" s="14" t="s">
        <v>65</v>
      </c>
      <c r="C20" s="27">
        <v>901</v>
      </c>
      <c r="D20" s="15">
        <v>104</v>
      </c>
      <c r="E20" s="12" t="s">
        <v>125</v>
      </c>
      <c r="F20" s="12"/>
      <c r="G20" s="37"/>
      <c r="H20" s="37"/>
      <c r="I20" s="38">
        <f t="shared" si="1"/>
        <v>3516</v>
      </c>
      <c r="J20" s="38">
        <f t="shared" si="1"/>
        <v>3647.5169999999998</v>
      </c>
      <c r="K20" s="38">
        <f t="shared" si="1"/>
        <v>3621.1</v>
      </c>
      <c r="L20" s="38">
        <f t="shared" si="1"/>
        <v>99.275753889563774</v>
      </c>
      <c r="M20" s="78"/>
      <c r="N20" s="78"/>
      <c r="O20" s="78"/>
    </row>
    <row r="21" spans="1:41" ht="30.75" customHeight="1">
      <c r="A21" s="27">
        <v>13</v>
      </c>
      <c r="B21" s="13" t="s">
        <v>197</v>
      </c>
      <c r="C21" s="29">
        <v>901</v>
      </c>
      <c r="D21" s="16">
        <v>104</v>
      </c>
      <c r="E21" s="17" t="s">
        <v>125</v>
      </c>
      <c r="F21" s="17" t="s">
        <v>43</v>
      </c>
      <c r="G21" s="37"/>
      <c r="H21" s="37"/>
      <c r="I21" s="39">
        <v>3516</v>
      </c>
      <c r="J21" s="39">
        <f>3515.951-164.096+13.66+12.3+54.576+76.834+83.2+32.622-20.24-38.465+38.465+20.9-3.121+13.894+0.503+10.534</f>
        <v>3647.5169999999998</v>
      </c>
      <c r="K21" s="39">
        <v>3621.1</v>
      </c>
      <c r="L21" s="39">
        <f>K21/J21*100</f>
        <v>99.275753889563774</v>
      </c>
      <c r="M21" s="78"/>
      <c r="N21" s="78"/>
      <c r="O21" s="78"/>
    </row>
    <row r="22" spans="1:41" ht="19.5" customHeight="1">
      <c r="A22" s="27">
        <v>14</v>
      </c>
      <c r="B22" s="14" t="s">
        <v>262</v>
      </c>
      <c r="C22" s="27">
        <v>901</v>
      </c>
      <c r="D22" s="15">
        <v>105</v>
      </c>
      <c r="E22" s="12"/>
      <c r="F22" s="12"/>
      <c r="G22" s="40"/>
      <c r="H22" s="40"/>
      <c r="I22" s="38">
        <f t="shared" ref="I22:L24" si="2">SUM(I23)</f>
        <v>0.8</v>
      </c>
      <c r="J22" s="38">
        <f t="shared" si="2"/>
        <v>0.8</v>
      </c>
      <c r="K22" s="38">
        <f t="shared" si="2"/>
        <v>0.8</v>
      </c>
      <c r="L22" s="38">
        <f t="shared" si="2"/>
        <v>100</v>
      </c>
      <c r="M22" s="78"/>
      <c r="N22" s="78"/>
      <c r="O22" s="78"/>
    </row>
    <row r="23" spans="1:41" ht="18.75" customHeight="1">
      <c r="A23" s="27">
        <v>15</v>
      </c>
      <c r="B23" s="14" t="s">
        <v>63</v>
      </c>
      <c r="C23" s="27">
        <v>901</v>
      </c>
      <c r="D23" s="15">
        <v>105</v>
      </c>
      <c r="E23" s="12" t="s">
        <v>124</v>
      </c>
      <c r="F23" s="12"/>
      <c r="G23" s="40"/>
      <c r="H23" s="40"/>
      <c r="I23" s="38">
        <f t="shared" si="2"/>
        <v>0.8</v>
      </c>
      <c r="J23" s="38">
        <f t="shared" si="2"/>
        <v>0.8</v>
      </c>
      <c r="K23" s="38">
        <f t="shared" si="2"/>
        <v>0.8</v>
      </c>
      <c r="L23" s="38">
        <f t="shared" si="2"/>
        <v>100</v>
      </c>
      <c r="M23" s="78"/>
      <c r="N23" s="78"/>
      <c r="O23" s="78"/>
    </row>
    <row r="24" spans="1:41" ht="74.25" customHeight="1">
      <c r="A24" s="27">
        <v>16</v>
      </c>
      <c r="B24" s="41" t="s">
        <v>266</v>
      </c>
      <c r="C24" s="27">
        <v>901</v>
      </c>
      <c r="D24" s="15">
        <v>105</v>
      </c>
      <c r="E24" s="12" t="s">
        <v>232</v>
      </c>
      <c r="F24" s="12"/>
      <c r="G24" s="40"/>
      <c r="H24" s="40"/>
      <c r="I24" s="38">
        <f t="shared" si="2"/>
        <v>0.8</v>
      </c>
      <c r="J24" s="38">
        <f t="shared" si="2"/>
        <v>0.8</v>
      </c>
      <c r="K24" s="38">
        <f t="shared" si="2"/>
        <v>0.8</v>
      </c>
      <c r="L24" s="38">
        <f t="shared" si="2"/>
        <v>100</v>
      </c>
      <c r="M24" s="78"/>
      <c r="N24" s="78"/>
      <c r="O24" s="78"/>
    </row>
    <row r="25" spans="1:41" ht="34.5" customHeight="1">
      <c r="A25" s="27">
        <v>17</v>
      </c>
      <c r="B25" s="13" t="s">
        <v>196</v>
      </c>
      <c r="C25" s="29">
        <v>901</v>
      </c>
      <c r="D25" s="16">
        <v>105</v>
      </c>
      <c r="E25" s="17" t="s">
        <v>232</v>
      </c>
      <c r="F25" s="17" t="s">
        <v>67</v>
      </c>
      <c r="G25" s="37"/>
      <c r="H25" s="37"/>
      <c r="I25" s="39">
        <v>0.8</v>
      </c>
      <c r="J25" s="39">
        <v>0.8</v>
      </c>
      <c r="K25" s="39">
        <v>0.8</v>
      </c>
      <c r="L25" s="39">
        <f>K25/J25*100</f>
        <v>100</v>
      </c>
      <c r="M25" s="78"/>
      <c r="N25" s="78"/>
      <c r="O25" s="78"/>
    </row>
    <row r="26" spans="1:41" s="5" customFormat="1" ht="13.5" customHeight="1">
      <c r="A26" s="27">
        <v>18</v>
      </c>
      <c r="B26" s="14" t="s">
        <v>6</v>
      </c>
      <c r="C26" s="27">
        <v>901</v>
      </c>
      <c r="D26" s="15">
        <v>111</v>
      </c>
      <c r="E26" s="12"/>
      <c r="F26" s="12"/>
      <c r="G26" s="40"/>
      <c r="H26" s="40"/>
      <c r="I26" s="38">
        <f t="shared" ref="I26:L28" si="3">I27</f>
        <v>300</v>
      </c>
      <c r="J26" s="38">
        <f t="shared" si="3"/>
        <v>300</v>
      </c>
      <c r="K26" s="38">
        <f t="shared" si="3"/>
        <v>0</v>
      </c>
      <c r="L26" s="38">
        <f t="shared" si="3"/>
        <v>0</v>
      </c>
      <c r="M26" s="101"/>
      <c r="N26" s="101"/>
      <c r="O26" s="101"/>
    </row>
    <row r="27" spans="1:41" ht="16.5" customHeight="1">
      <c r="A27" s="27">
        <v>19</v>
      </c>
      <c r="B27" s="14" t="s">
        <v>63</v>
      </c>
      <c r="C27" s="27">
        <v>901</v>
      </c>
      <c r="D27" s="15">
        <v>111</v>
      </c>
      <c r="E27" s="12" t="s">
        <v>124</v>
      </c>
      <c r="F27" s="12"/>
      <c r="G27" s="37"/>
      <c r="H27" s="37"/>
      <c r="I27" s="38">
        <f t="shared" si="3"/>
        <v>300</v>
      </c>
      <c r="J27" s="38">
        <f t="shared" si="3"/>
        <v>300</v>
      </c>
      <c r="K27" s="38">
        <f t="shared" si="3"/>
        <v>0</v>
      </c>
      <c r="L27" s="38">
        <f t="shared" si="3"/>
        <v>0</v>
      </c>
      <c r="M27" s="78"/>
      <c r="N27" s="78"/>
      <c r="O27" s="78"/>
    </row>
    <row r="28" spans="1:41" ht="15.75" customHeight="1">
      <c r="A28" s="27">
        <v>20</v>
      </c>
      <c r="B28" s="14" t="s">
        <v>7</v>
      </c>
      <c r="C28" s="27">
        <v>901</v>
      </c>
      <c r="D28" s="15">
        <v>111</v>
      </c>
      <c r="E28" s="12" t="s">
        <v>126</v>
      </c>
      <c r="F28" s="12"/>
      <c r="G28" s="37"/>
      <c r="H28" s="37"/>
      <c r="I28" s="38">
        <f t="shared" si="3"/>
        <v>300</v>
      </c>
      <c r="J28" s="38">
        <f t="shared" si="3"/>
        <v>300</v>
      </c>
      <c r="K28" s="38">
        <f t="shared" si="3"/>
        <v>0</v>
      </c>
      <c r="L28" s="38">
        <f t="shared" si="3"/>
        <v>0</v>
      </c>
      <c r="M28" s="78"/>
      <c r="N28" s="78"/>
      <c r="O28" s="78"/>
    </row>
    <row r="29" spans="1:41" ht="15" customHeight="1">
      <c r="A29" s="27">
        <v>21</v>
      </c>
      <c r="B29" s="13" t="s">
        <v>45</v>
      </c>
      <c r="C29" s="29">
        <v>901</v>
      </c>
      <c r="D29" s="16">
        <v>111</v>
      </c>
      <c r="E29" s="17" t="s">
        <v>126</v>
      </c>
      <c r="F29" s="17" t="s">
        <v>44</v>
      </c>
      <c r="G29" s="37"/>
      <c r="H29" s="37"/>
      <c r="I29" s="39">
        <v>300</v>
      </c>
      <c r="J29" s="39">
        <v>300</v>
      </c>
      <c r="K29" s="39">
        <v>0</v>
      </c>
      <c r="L29" s="39">
        <v>0</v>
      </c>
      <c r="M29" s="78"/>
      <c r="N29" s="78"/>
      <c r="O29" s="78"/>
    </row>
    <row r="30" spans="1:41" s="9" customFormat="1" ht="22.5" customHeight="1">
      <c r="A30" s="27">
        <v>22</v>
      </c>
      <c r="B30" s="14" t="s">
        <v>25</v>
      </c>
      <c r="C30" s="27">
        <v>901</v>
      </c>
      <c r="D30" s="15">
        <v>113</v>
      </c>
      <c r="E30" s="12"/>
      <c r="F30" s="17"/>
      <c r="G30" s="37"/>
      <c r="H30" s="37"/>
      <c r="I30" s="38">
        <f>SUM(I31+I50+I57)</f>
        <v>25219.574999999997</v>
      </c>
      <c r="J30" s="38">
        <f>SUM(J31+J50+J57)</f>
        <v>35133.760000000002</v>
      </c>
      <c r="K30" s="38">
        <f>SUM(K31+K50+K57)</f>
        <v>34798.210999999996</v>
      </c>
      <c r="L30" s="38">
        <f t="shared" ref="L30:L35" si="4">K30/J30*100</f>
        <v>99.044938543440821</v>
      </c>
      <c r="M30" s="21"/>
      <c r="N30" s="21"/>
      <c r="O30" s="2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42" customHeight="1">
      <c r="A31" s="27">
        <v>23</v>
      </c>
      <c r="B31" s="14" t="s">
        <v>384</v>
      </c>
      <c r="C31" s="27">
        <v>901</v>
      </c>
      <c r="D31" s="15">
        <v>113</v>
      </c>
      <c r="E31" s="12" t="s">
        <v>132</v>
      </c>
      <c r="F31" s="17"/>
      <c r="G31" s="37"/>
      <c r="H31" s="37"/>
      <c r="I31" s="38">
        <f>SUM(I32+I36+I38+I40+I42+I48)</f>
        <v>24838.074999999997</v>
      </c>
      <c r="J31" s="38">
        <f>SUM(J32+J36+J38+J40+J42+J48)</f>
        <v>29490.974999999999</v>
      </c>
      <c r="K31" s="38">
        <f>SUM(K32+K36+K38+K40+K42+K48)</f>
        <v>29173.005999999994</v>
      </c>
      <c r="L31" s="38">
        <f t="shared" si="4"/>
        <v>98.921809129742229</v>
      </c>
      <c r="M31" s="78"/>
      <c r="N31" s="78"/>
      <c r="O31" s="78"/>
    </row>
    <row r="32" spans="1:41" ht="31.5" customHeight="1">
      <c r="A32" s="27">
        <v>24</v>
      </c>
      <c r="B32" s="42" t="s">
        <v>69</v>
      </c>
      <c r="C32" s="27">
        <v>901</v>
      </c>
      <c r="D32" s="15">
        <v>113</v>
      </c>
      <c r="E32" s="12" t="s">
        <v>133</v>
      </c>
      <c r="F32" s="17"/>
      <c r="G32" s="37"/>
      <c r="H32" s="37"/>
      <c r="I32" s="38">
        <f>SUM(I33:I35)</f>
        <v>23901.574999999997</v>
      </c>
      <c r="J32" s="38">
        <f>SUM(J33:J35)</f>
        <v>28371.490999999998</v>
      </c>
      <c r="K32" s="38">
        <f>SUM(K33:K35)</f>
        <v>28178.899999999998</v>
      </c>
      <c r="L32" s="38">
        <f t="shared" si="4"/>
        <v>99.32118125198285</v>
      </c>
      <c r="M32" s="78"/>
      <c r="N32" s="78"/>
      <c r="O32" s="78"/>
    </row>
    <row r="33" spans="1:15" ht="28.5" customHeight="1">
      <c r="A33" s="27">
        <v>25</v>
      </c>
      <c r="B33" s="43" t="s">
        <v>70</v>
      </c>
      <c r="C33" s="29">
        <v>901</v>
      </c>
      <c r="D33" s="16">
        <v>113</v>
      </c>
      <c r="E33" s="17" t="s">
        <v>133</v>
      </c>
      <c r="F33" s="17" t="s">
        <v>37</v>
      </c>
      <c r="G33" s="37"/>
      <c r="H33" s="37"/>
      <c r="I33" s="39">
        <f>14983.655</f>
        <v>14983.655000000001</v>
      </c>
      <c r="J33" s="39">
        <f>14983.655-3.7</f>
        <v>14979.955</v>
      </c>
      <c r="K33" s="39">
        <v>14877.9</v>
      </c>
      <c r="L33" s="39">
        <f t="shared" si="4"/>
        <v>99.318722920062172</v>
      </c>
      <c r="M33" s="78"/>
      <c r="N33" s="78"/>
      <c r="O33" s="78"/>
    </row>
    <row r="34" spans="1:15" ht="18.75" customHeight="1">
      <c r="A34" s="27">
        <v>26</v>
      </c>
      <c r="B34" s="13" t="s">
        <v>196</v>
      </c>
      <c r="C34" s="29">
        <v>901</v>
      </c>
      <c r="D34" s="16">
        <v>113</v>
      </c>
      <c r="E34" s="17" t="s">
        <v>133</v>
      </c>
      <c r="F34" s="17" t="s">
        <v>67</v>
      </c>
      <c r="G34" s="37"/>
      <c r="H34" s="37"/>
      <c r="I34" s="39">
        <f>8770.82</f>
        <v>8770.82</v>
      </c>
      <c r="J34" s="39">
        <f>8770.82+3667.463+279.535-5.7+233.718+365.4-83.9</f>
        <v>13227.335999999999</v>
      </c>
      <c r="K34" s="39">
        <v>13136.8</v>
      </c>
      <c r="L34" s="39">
        <f t="shared" si="4"/>
        <v>99.315538669313312</v>
      </c>
      <c r="M34" s="78"/>
      <c r="N34" s="78"/>
      <c r="O34" s="78"/>
    </row>
    <row r="35" spans="1:15" ht="27" customHeight="1">
      <c r="A35" s="27">
        <v>27</v>
      </c>
      <c r="B35" s="43" t="s">
        <v>192</v>
      </c>
      <c r="C35" s="29">
        <v>901</v>
      </c>
      <c r="D35" s="16">
        <v>113</v>
      </c>
      <c r="E35" s="17" t="s">
        <v>133</v>
      </c>
      <c r="F35" s="17" t="s">
        <v>193</v>
      </c>
      <c r="G35" s="37"/>
      <c r="H35" s="37"/>
      <c r="I35" s="39">
        <f>147.1</f>
        <v>147.1</v>
      </c>
      <c r="J35" s="39">
        <f>147.1+5.7-1+12.4</f>
        <v>164.2</v>
      </c>
      <c r="K35" s="39">
        <f>147.1+5.7-1+12.4</f>
        <v>164.2</v>
      </c>
      <c r="L35" s="39">
        <f t="shared" si="4"/>
        <v>100</v>
      </c>
      <c r="M35" s="78"/>
      <c r="N35" s="78"/>
      <c r="O35" s="78"/>
    </row>
    <row r="36" spans="1:15" ht="36" customHeight="1">
      <c r="A36" s="27">
        <v>28</v>
      </c>
      <c r="B36" s="42" t="s">
        <v>201</v>
      </c>
      <c r="C36" s="27">
        <v>901</v>
      </c>
      <c r="D36" s="15">
        <v>113</v>
      </c>
      <c r="E36" s="12" t="s">
        <v>298</v>
      </c>
      <c r="F36" s="12"/>
      <c r="G36" s="40"/>
      <c r="H36" s="40"/>
      <c r="I36" s="38">
        <f>SUM(I37)</f>
        <v>730</v>
      </c>
      <c r="J36" s="38">
        <f>SUM(J37)</f>
        <v>829.07799999999997</v>
      </c>
      <c r="K36" s="38">
        <f>SUM(K37)</f>
        <v>771.1</v>
      </c>
      <c r="L36" s="38">
        <f>SUM(L37)</f>
        <v>93.00693059036665</v>
      </c>
      <c r="M36" s="78"/>
      <c r="N36" s="78"/>
      <c r="O36" s="78"/>
    </row>
    <row r="37" spans="1:15" ht="27" customHeight="1">
      <c r="A37" s="27">
        <v>29</v>
      </c>
      <c r="B37" s="13" t="s">
        <v>196</v>
      </c>
      <c r="C37" s="29">
        <v>901</v>
      </c>
      <c r="D37" s="16">
        <v>113</v>
      </c>
      <c r="E37" s="17" t="s">
        <v>298</v>
      </c>
      <c r="F37" s="17" t="s">
        <v>67</v>
      </c>
      <c r="G37" s="37"/>
      <c r="H37" s="37"/>
      <c r="I37" s="39">
        <f>730</f>
        <v>730</v>
      </c>
      <c r="J37" s="39">
        <f>730-43.722+142.8</f>
        <v>829.07799999999997</v>
      </c>
      <c r="K37" s="39">
        <v>771.1</v>
      </c>
      <c r="L37" s="39">
        <f>K37/J37*100</f>
        <v>93.00693059036665</v>
      </c>
      <c r="M37" s="78"/>
      <c r="N37" s="78"/>
      <c r="O37" s="78"/>
    </row>
    <row r="38" spans="1:15" ht="27" customHeight="1">
      <c r="A38" s="27">
        <v>30</v>
      </c>
      <c r="B38" s="42" t="s">
        <v>471</v>
      </c>
      <c r="C38" s="27">
        <v>901</v>
      </c>
      <c r="D38" s="15">
        <v>113</v>
      </c>
      <c r="E38" s="12" t="s">
        <v>472</v>
      </c>
      <c r="F38" s="12"/>
      <c r="G38" s="40"/>
      <c r="H38" s="40"/>
      <c r="I38" s="38">
        <f>SUM(I39)</f>
        <v>0</v>
      </c>
      <c r="J38" s="38">
        <f>SUM(J39)</f>
        <v>83.906000000000006</v>
      </c>
      <c r="K38" s="38">
        <f>SUM(K39)</f>
        <v>83.906000000000006</v>
      </c>
      <c r="L38" s="38">
        <f>SUM(L39)</f>
        <v>100</v>
      </c>
      <c r="M38" s="78"/>
      <c r="N38" s="78"/>
      <c r="O38" s="78"/>
    </row>
    <row r="39" spans="1:15" ht="27" customHeight="1">
      <c r="A39" s="27">
        <v>31</v>
      </c>
      <c r="B39" s="13" t="s">
        <v>196</v>
      </c>
      <c r="C39" s="29">
        <v>901</v>
      </c>
      <c r="D39" s="16">
        <v>113</v>
      </c>
      <c r="E39" s="17" t="s">
        <v>472</v>
      </c>
      <c r="F39" s="17" t="s">
        <v>67</v>
      </c>
      <c r="G39" s="37"/>
      <c r="H39" s="37"/>
      <c r="I39" s="39">
        <v>0</v>
      </c>
      <c r="J39" s="39">
        <v>83.906000000000006</v>
      </c>
      <c r="K39" s="39">
        <v>83.906000000000006</v>
      </c>
      <c r="L39" s="39">
        <f>K39/J39*100</f>
        <v>100</v>
      </c>
      <c r="M39" s="78"/>
      <c r="N39" s="78"/>
      <c r="O39" s="78"/>
    </row>
    <row r="40" spans="1:15" s="4" customFormat="1" ht="31.5" customHeight="1">
      <c r="A40" s="27">
        <v>32</v>
      </c>
      <c r="B40" s="42" t="s">
        <v>71</v>
      </c>
      <c r="C40" s="27">
        <v>901</v>
      </c>
      <c r="D40" s="15">
        <v>113</v>
      </c>
      <c r="E40" s="12" t="s">
        <v>299</v>
      </c>
      <c r="F40" s="17"/>
      <c r="G40" s="37"/>
      <c r="H40" s="37"/>
      <c r="I40" s="38">
        <f>I41</f>
        <v>50</v>
      </c>
      <c r="J40" s="38">
        <f>J41</f>
        <v>50</v>
      </c>
      <c r="K40" s="38">
        <f>K41</f>
        <v>24.3</v>
      </c>
      <c r="L40" s="38">
        <f>L41</f>
        <v>48.6</v>
      </c>
      <c r="M40" s="78"/>
      <c r="N40" s="78"/>
      <c r="O40" s="78"/>
    </row>
    <row r="41" spans="1:15" ht="25.5" customHeight="1">
      <c r="A41" s="27">
        <v>33</v>
      </c>
      <c r="B41" s="13" t="s">
        <v>196</v>
      </c>
      <c r="C41" s="29">
        <v>901</v>
      </c>
      <c r="D41" s="16">
        <v>113</v>
      </c>
      <c r="E41" s="17" t="s">
        <v>299</v>
      </c>
      <c r="F41" s="17" t="s">
        <v>67</v>
      </c>
      <c r="G41" s="37"/>
      <c r="H41" s="37"/>
      <c r="I41" s="39">
        <v>50</v>
      </c>
      <c r="J41" s="39">
        <v>50</v>
      </c>
      <c r="K41" s="39">
        <v>24.3</v>
      </c>
      <c r="L41" s="39">
        <f t="shared" ref="L41:L47" si="5">K41/J41*100</f>
        <v>48.6</v>
      </c>
      <c r="M41" s="78"/>
      <c r="N41" s="78"/>
      <c r="O41" s="78"/>
    </row>
    <row r="42" spans="1:15" ht="45.75" customHeight="1">
      <c r="A42" s="27">
        <v>34</v>
      </c>
      <c r="B42" s="42" t="s">
        <v>72</v>
      </c>
      <c r="C42" s="27">
        <v>901</v>
      </c>
      <c r="D42" s="15">
        <v>113</v>
      </c>
      <c r="E42" s="12" t="s">
        <v>217</v>
      </c>
      <c r="F42" s="17"/>
      <c r="G42" s="37"/>
      <c r="H42" s="37"/>
      <c r="I42" s="38">
        <f>I43+I45</f>
        <v>106.5</v>
      </c>
      <c r="J42" s="38">
        <f>J43+J45</f>
        <v>106.5</v>
      </c>
      <c r="K42" s="38">
        <f>K43+K45</f>
        <v>64.8</v>
      </c>
      <c r="L42" s="38">
        <f t="shared" si="5"/>
        <v>60.845070422535208</v>
      </c>
      <c r="M42" s="78"/>
      <c r="N42" s="78"/>
      <c r="O42" s="78"/>
    </row>
    <row r="43" spans="1:15" ht="69" customHeight="1">
      <c r="A43" s="27">
        <v>35</v>
      </c>
      <c r="B43" s="42" t="s">
        <v>73</v>
      </c>
      <c r="C43" s="27">
        <v>901</v>
      </c>
      <c r="D43" s="15">
        <v>113</v>
      </c>
      <c r="E43" s="12" t="s">
        <v>134</v>
      </c>
      <c r="F43" s="17"/>
      <c r="G43" s="37"/>
      <c r="H43" s="37"/>
      <c r="I43" s="38">
        <f>I44</f>
        <v>0.1</v>
      </c>
      <c r="J43" s="38">
        <f>J44</f>
        <v>0.1</v>
      </c>
      <c r="K43" s="38">
        <f>K44</f>
        <v>0.1</v>
      </c>
      <c r="L43" s="38">
        <f t="shared" si="5"/>
        <v>100</v>
      </c>
      <c r="M43" s="78"/>
      <c r="N43" s="78"/>
      <c r="O43" s="78"/>
    </row>
    <row r="44" spans="1:15" ht="38.25">
      <c r="A44" s="27">
        <v>36</v>
      </c>
      <c r="B44" s="13" t="s">
        <v>196</v>
      </c>
      <c r="C44" s="29">
        <v>901</v>
      </c>
      <c r="D44" s="16">
        <v>113</v>
      </c>
      <c r="E44" s="17" t="s">
        <v>134</v>
      </c>
      <c r="F44" s="17" t="s">
        <v>67</v>
      </c>
      <c r="G44" s="37"/>
      <c r="H44" s="37"/>
      <c r="I44" s="39">
        <v>0.1</v>
      </c>
      <c r="J44" s="39">
        <v>0.1</v>
      </c>
      <c r="K44" s="39">
        <v>0.1</v>
      </c>
      <c r="L44" s="39">
        <f t="shared" si="5"/>
        <v>100</v>
      </c>
      <c r="M44" s="78"/>
      <c r="N44" s="78"/>
      <c r="O44" s="78"/>
    </row>
    <row r="45" spans="1:15" ht="36.75" customHeight="1">
      <c r="A45" s="27">
        <v>37</v>
      </c>
      <c r="B45" s="42" t="s">
        <v>74</v>
      </c>
      <c r="C45" s="27">
        <v>901</v>
      </c>
      <c r="D45" s="15">
        <v>113</v>
      </c>
      <c r="E45" s="12" t="s">
        <v>135</v>
      </c>
      <c r="F45" s="17"/>
      <c r="G45" s="37"/>
      <c r="H45" s="37"/>
      <c r="I45" s="38">
        <f>I46+I47</f>
        <v>106.4</v>
      </c>
      <c r="J45" s="38">
        <f>J46+J47</f>
        <v>106.4</v>
      </c>
      <c r="K45" s="38">
        <f>K46+K47</f>
        <v>64.7</v>
      </c>
      <c r="L45" s="38">
        <f t="shared" si="5"/>
        <v>60.808270676691734</v>
      </c>
      <c r="M45" s="78"/>
      <c r="N45" s="78"/>
      <c r="O45" s="78"/>
    </row>
    <row r="46" spans="1:15" ht="25.5">
      <c r="A46" s="27">
        <v>38</v>
      </c>
      <c r="B46" s="13" t="s">
        <v>197</v>
      </c>
      <c r="C46" s="29">
        <v>901</v>
      </c>
      <c r="D46" s="16">
        <v>113</v>
      </c>
      <c r="E46" s="17" t="s">
        <v>135</v>
      </c>
      <c r="F46" s="17" t="s">
        <v>43</v>
      </c>
      <c r="G46" s="37"/>
      <c r="H46" s="37"/>
      <c r="I46" s="39">
        <f>57.2</f>
        <v>57.2</v>
      </c>
      <c r="J46" s="39">
        <f>57.2-22.8</f>
        <v>34.400000000000006</v>
      </c>
      <c r="K46" s="39">
        <v>0</v>
      </c>
      <c r="L46" s="39">
        <f t="shared" si="5"/>
        <v>0</v>
      </c>
      <c r="M46" s="78"/>
      <c r="N46" s="78"/>
      <c r="O46" s="78"/>
    </row>
    <row r="47" spans="1:15" ht="27.75" customHeight="1">
      <c r="A47" s="27">
        <v>39</v>
      </c>
      <c r="B47" s="13" t="s">
        <v>196</v>
      </c>
      <c r="C47" s="29">
        <v>901</v>
      </c>
      <c r="D47" s="16">
        <v>113</v>
      </c>
      <c r="E47" s="17" t="s">
        <v>135</v>
      </c>
      <c r="F47" s="17" t="s">
        <v>67</v>
      </c>
      <c r="G47" s="37"/>
      <c r="H47" s="37"/>
      <c r="I47" s="39">
        <f>49.2</f>
        <v>49.2</v>
      </c>
      <c r="J47" s="39">
        <f>49.2+22.8</f>
        <v>72</v>
      </c>
      <c r="K47" s="39">
        <v>64.7</v>
      </c>
      <c r="L47" s="39">
        <f t="shared" si="5"/>
        <v>89.861111111111114</v>
      </c>
      <c r="M47" s="78"/>
      <c r="N47" s="78"/>
      <c r="O47" s="78"/>
    </row>
    <row r="48" spans="1:15" ht="26.25" customHeight="1">
      <c r="A48" s="27">
        <v>40</v>
      </c>
      <c r="B48" s="42" t="s">
        <v>75</v>
      </c>
      <c r="C48" s="27">
        <v>901</v>
      </c>
      <c r="D48" s="15">
        <v>113</v>
      </c>
      <c r="E48" s="12" t="s">
        <v>136</v>
      </c>
      <c r="F48" s="17"/>
      <c r="G48" s="37"/>
      <c r="H48" s="37"/>
      <c r="I48" s="38">
        <f>I49</f>
        <v>50</v>
      </c>
      <c r="J48" s="38">
        <f>J49</f>
        <v>50</v>
      </c>
      <c r="K48" s="38">
        <f>K49</f>
        <v>50</v>
      </c>
      <c r="L48" s="38">
        <f>L49</f>
        <v>100</v>
      </c>
      <c r="M48" s="78"/>
      <c r="N48" s="78"/>
      <c r="O48" s="78"/>
    </row>
    <row r="49" spans="1:15" ht="30.75" customHeight="1">
      <c r="A49" s="27">
        <v>41</v>
      </c>
      <c r="B49" s="13" t="s">
        <v>196</v>
      </c>
      <c r="C49" s="29">
        <v>901</v>
      </c>
      <c r="D49" s="16">
        <v>113</v>
      </c>
      <c r="E49" s="17" t="s">
        <v>136</v>
      </c>
      <c r="F49" s="17" t="s">
        <v>67</v>
      </c>
      <c r="G49" s="37"/>
      <c r="H49" s="37"/>
      <c r="I49" s="39">
        <v>50</v>
      </c>
      <c r="J49" s="39">
        <v>50</v>
      </c>
      <c r="K49" s="39">
        <v>50</v>
      </c>
      <c r="L49" s="39">
        <f t="shared" ref="L49:L57" si="6">K49/J49*100</f>
        <v>100</v>
      </c>
      <c r="M49" s="78"/>
      <c r="N49" s="78"/>
      <c r="O49" s="78"/>
    </row>
    <row r="50" spans="1:15" ht="45" customHeight="1">
      <c r="A50" s="27">
        <v>42</v>
      </c>
      <c r="B50" s="42" t="s">
        <v>284</v>
      </c>
      <c r="C50" s="27">
        <v>901</v>
      </c>
      <c r="D50" s="15">
        <v>113</v>
      </c>
      <c r="E50" s="12" t="s">
        <v>137</v>
      </c>
      <c r="F50" s="12"/>
      <c r="G50" s="37"/>
      <c r="H50" s="37"/>
      <c r="I50" s="38">
        <f>I51+I54</f>
        <v>352.70000000000005</v>
      </c>
      <c r="J50" s="38">
        <f>J51+J54</f>
        <v>463.98500000000001</v>
      </c>
      <c r="K50" s="38">
        <f>K51+K54</f>
        <v>446.40500000000003</v>
      </c>
      <c r="L50" s="38">
        <f t="shared" si="6"/>
        <v>96.211084410056358</v>
      </c>
      <c r="M50" s="78"/>
      <c r="N50" s="78"/>
      <c r="O50" s="78"/>
    </row>
    <row r="51" spans="1:15" ht="58.5" customHeight="1">
      <c r="A51" s="27">
        <v>43</v>
      </c>
      <c r="B51" s="42" t="s">
        <v>385</v>
      </c>
      <c r="C51" s="27">
        <v>901</v>
      </c>
      <c r="D51" s="15">
        <v>113</v>
      </c>
      <c r="E51" s="12" t="s">
        <v>138</v>
      </c>
      <c r="F51" s="12"/>
      <c r="G51" s="37"/>
      <c r="H51" s="37"/>
      <c r="I51" s="38">
        <f>SUM(I52:I53)</f>
        <v>352.70000000000005</v>
      </c>
      <c r="J51" s="38">
        <f>SUM(J52:J53)</f>
        <v>386.18</v>
      </c>
      <c r="K51" s="38">
        <f>SUM(K52:K53)</f>
        <v>368.6</v>
      </c>
      <c r="L51" s="38">
        <f t="shared" si="6"/>
        <v>95.447718680408101</v>
      </c>
      <c r="M51" s="78"/>
      <c r="N51" s="78"/>
      <c r="O51" s="78"/>
    </row>
    <row r="52" spans="1:15" ht="25.5">
      <c r="A52" s="27">
        <v>44</v>
      </c>
      <c r="B52" s="13" t="s">
        <v>197</v>
      </c>
      <c r="C52" s="29">
        <v>901</v>
      </c>
      <c r="D52" s="16">
        <v>113</v>
      </c>
      <c r="E52" s="17" t="s">
        <v>138</v>
      </c>
      <c r="F52" s="17" t="s">
        <v>43</v>
      </c>
      <c r="G52" s="37"/>
      <c r="H52" s="37"/>
      <c r="I52" s="39">
        <f>132.9</f>
        <v>132.9</v>
      </c>
      <c r="J52" s="97">
        <f>132.9-0.3-12.3-5.8-4.3-5-1.4-4.11+0.3+1.285</f>
        <v>101.27499999999999</v>
      </c>
      <c r="K52" s="39">
        <v>96.8</v>
      </c>
      <c r="L52" s="39">
        <f t="shared" si="6"/>
        <v>95.581337941249075</v>
      </c>
      <c r="M52" s="78"/>
      <c r="N52" s="78"/>
      <c r="O52" s="78"/>
    </row>
    <row r="53" spans="1:15" ht="29.25" customHeight="1">
      <c r="A53" s="27">
        <v>45</v>
      </c>
      <c r="B53" s="13" t="s">
        <v>196</v>
      </c>
      <c r="C53" s="29">
        <v>901</v>
      </c>
      <c r="D53" s="16">
        <v>113</v>
      </c>
      <c r="E53" s="17" t="s">
        <v>138</v>
      </c>
      <c r="F53" s="17" t="s">
        <v>67</v>
      </c>
      <c r="G53" s="37"/>
      <c r="H53" s="37"/>
      <c r="I53" s="39">
        <f>219.8</f>
        <v>219.8</v>
      </c>
      <c r="J53" s="97">
        <f>219.8+65.105</f>
        <v>284.90500000000003</v>
      </c>
      <c r="K53" s="39">
        <v>271.8</v>
      </c>
      <c r="L53" s="39">
        <f t="shared" si="6"/>
        <v>95.400221126340355</v>
      </c>
      <c r="M53" s="78"/>
      <c r="N53" s="78"/>
      <c r="O53" s="78"/>
    </row>
    <row r="54" spans="1:15" ht="51" customHeight="1">
      <c r="A54" s="27">
        <v>46</v>
      </c>
      <c r="B54" s="92" t="s">
        <v>452</v>
      </c>
      <c r="C54" s="80">
        <v>901</v>
      </c>
      <c r="D54" s="81">
        <v>113</v>
      </c>
      <c r="E54" s="82" t="s">
        <v>453</v>
      </c>
      <c r="F54" s="82"/>
      <c r="G54" s="83"/>
      <c r="H54" s="83"/>
      <c r="I54" s="84">
        <f>SUM(I55:I56)</f>
        <v>0</v>
      </c>
      <c r="J54" s="84">
        <f>SUM(J55:J56)</f>
        <v>77.805000000000007</v>
      </c>
      <c r="K54" s="84">
        <f>SUM(K55:K56)</f>
        <v>77.805000000000007</v>
      </c>
      <c r="L54" s="84">
        <f t="shared" si="6"/>
        <v>100</v>
      </c>
      <c r="M54" s="78"/>
      <c r="N54" s="78"/>
      <c r="O54" s="78"/>
    </row>
    <row r="55" spans="1:15" ht="29.25" customHeight="1">
      <c r="A55" s="27">
        <v>47</v>
      </c>
      <c r="B55" s="85" t="s">
        <v>197</v>
      </c>
      <c r="C55" s="86">
        <v>901</v>
      </c>
      <c r="D55" s="87">
        <v>113</v>
      </c>
      <c r="E55" s="88" t="s">
        <v>453</v>
      </c>
      <c r="F55" s="88" t="s">
        <v>43</v>
      </c>
      <c r="G55" s="89"/>
      <c r="H55" s="89"/>
      <c r="I55" s="90">
        <v>0</v>
      </c>
      <c r="J55" s="90">
        <f>68.853+5.452</f>
        <v>74.304999999999993</v>
      </c>
      <c r="K55" s="90">
        <f>68.853+5.452</f>
        <v>74.304999999999993</v>
      </c>
      <c r="L55" s="90">
        <f t="shared" si="6"/>
        <v>100</v>
      </c>
      <c r="M55" s="78"/>
      <c r="N55" s="78"/>
      <c r="O55" s="78"/>
    </row>
    <row r="56" spans="1:15" ht="29.25" customHeight="1">
      <c r="A56" s="27">
        <v>48</v>
      </c>
      <c r="B56" s="85" t="s">
        <v>196</v>
      </c>
      <c r="C56" s="86">
        <v>901</v>
      </c>
      <c r="D56" s="87">
        <v>113</v>
      </c>
      <c r="E56" s="88" t="s">
        <v>453</v>
      </c>
      <c r="F56" s="88" t="s">
        <v>67</v>
      </c>
      <c r="G56" s="89"/>
      <c r="H56" s="89"/>
      <c r="I56" s="90">
        <v>0</v>
      </c>
      <c r="J56" s="90">
        <f>87.93-5.452-78.978</f>
        <v>3.5000000000000142</v>
      </c>
      <c r="K56" s="90">
        <f>87.93-5.452-78.978</f>
        <v>3.5000000000000142</v>
      </c>
      <c r="L56" s="90">
        <f t="shared" si="6"/>
        <v>100</v>
      </c>
      <c r="M56" s="78"/>
      <c r="N56" s="78"/>
      <c r="O56" s="78"/>
    </row>
    <row r="57" spans="1:15" ht="19.5" customHeight="1">
      <c r="A57" s="27">
        <v>49</v>
      </c>
      <c r="B57" s="14" t="s">
        <v>63</v>
      </c>
      <c r="C57" s="27">
        <v>901</v>
      </c>
      <c r="D57" s="15">
        <v>113</v>
      </c>
      <c r="E57" s="12" t="s">
        <v>124</v>
      </c>
      <c r="F57" s="12"/>
      <c r="G57" s="40"/>
      <c r="H57" s="40"/>
      <c r="I57" s="38">
        <f>SUM(I58+I60+I63+I65+I67)</f>
        <v>28.8</v>
      </c>
      <c r="J57" s="38">
        <f>SUM(J58+J60+J63+J65+J67)</f>
        <v>5178.8</v>
      </c>
      <c r="K57" s="38">
        <f>SUM(K58+K60+K63+K65+K67)</f>
        <v>5178.8</v>
      </c>
      <c r="L57" s="38">
        <f t="shared" si="6"/>
        <v>100</v>
      </c>
      <c r="M57" s="78"/>
      <c r="N57" s="78"/>
      <c r="O57" s="78"/>
    </row>
    <row r="58" spans="1:15" ht="25.5" customHeight="1">
      <c r="A58" s="27">
        <v>50</v>
      </c>
      <c r="B58" s="44" t="s">
        <v>195</v>
      </c>
      <c r="C58" s="27">
        <v>901</v>
      </c>
      <c r="D58" s="15">
        <v>113</v>
      </c>
      <c r="E58" s="12" t="s">
        <v>302</v>
      </c>
      <c r="F58" s="12"/>
      <c r="G58" s="45"/>
      <c r="H58" s="21"/>
      <c r="I58" s="38">
        <f>SUM(I59)</f>
        <v>28.8</v>
      </c>
      <c r="J58" s="38">
        <f>SUM(J59)</f>
        <v>14.4</v>
      </c>
      <c r="K58" s="38">
        <f>SUM(K59)</f>
        <v>14.4</v>
      </c>
      <c r="L58" s="38">
        <f>SUM(L59)</f>
        <v>100</v>
      </c>
      <c r="M58" s="78"/>
      <c r="N58" s="78"/>
      <c r="O58" s="78"/>
    </row>
    <row r="59" spans="1:15" ht="26.25" customHeight="1">
      <c r="A59" s="27">
        <v>51</v>
      </c>
      <c r="B59" s="13" t="s">
        <v>197</v>
      </c>
      <c r="C59" s="29">
        <v>901</v>
      </c>
      <c r="D59" s="16">
        <v>113</v>
      </c>
      <c r="E59" s="17" t="s">
        <v>302</v>
      </c>
      <c r="F59" s="17" t="s">
        <v>43</v>
      </c>
      <c r="G59" s="45"/>
      <c r="H59" s="21"/>
      <c r="I59" s="39">
        <f>28.8</f>
        <v>28.8</v>
      </c>
      <c r="J59" s="39">
        <f>28.8-14.4</f>
        <v>14.4</v>
      </c>
      <c r="K59" s="39">
        <f>28.8-14.4</f>
        <v>14.4</v>
      </c>
      <c r="L59" s="39">
        <f>K59/J59*100</f>
        <v>100</v>
      </c>
      <c r="M59" s="78"/>
      <c r="N59" s="78"/>
      <c r="O59" s="78"/>
    </row>
    <row r="60" spans="1:15" ht="20.25" customHeight="1">
      <c r="A60" s="27">
        <v>52</v>
      </c>
      <c r="B60" s="14" t="s">
        <v>405</v>
      </c>
      <c r="C60" s="27">
        <v>901</v>
      </c>
      <c r="D60" s="15">
        <v>113</v>
      </c>
      <c r="E60" s="12" t="s">
        <v>407</v>
      </c>
      <c r="F60" s="12"/>
      <c r="G60" s="46"/>
      <c r="H60" s="47"/>
      <c r="I60" s="38">
        <f>SUM(I61:I62)</f>
        <v>0</v>
      </c>
      <c r="J60" s="38">
        <f>SUM(J61:J62)</f>
        <v>933.4</v>
      </c>
      <c r="K60" s="38">
        <f>SUM(K61:K62)</f>
        <v>933.4</v>
      </c>
      <c r="L60" s="38">
        <f>K60/J60*100</f>
        <v>100</v>
      </c>
      <c r="M60" s="78"/>
      <c r="N60" s="78"/>
      <c r="O60" s="78"/>
    </row>
    <row r="61" spans="1:15" ht="20.25" customHeight="1">
      <c r="A61" s="27">
        <v>53</v>
      </c>
      <c r="B61" s="13" t="s">
        <v>420</v>
      </c>
      <c r="C61" s="29">
        <v>901</v>
      </c>
      <c r="D61" s="16">
        <v>113</v>
      </c>
      <c r="E61" s="17" t="s">
        <v>407</v>
      </c>
      <c r="F61" s="17" t="s">
        <v>421</v>
      </c>
      <c r="G61" s="45"/>
      <c r="H61" s="21"/>
      <c r="I61" s="39">
        <v>0</v>
      </c>
      <c r="J61" s="39">
        <v>933</v>
      </c>
      <c r="K61" s="39">
        <v>933</v>
      </c>
      <c r="L61" s="39">
        <f>K61/J61*100</f>
        <v>100</v>
      </c>
      <c r="M61" s="78"/>
      <c r="N61" s="78"/>
      <c r="O61" s="78"/>
    </row>
    <row r="62" spans="1:15" ht="22.5" customHeight="1">
      <c r="A62" s="27">
        <v>54</v>
      </c>
      <c r="B62" s="13" t="s">
        <v>275</v>
      </c>
      <c r="C62" s="29">
        <v>901</v>
      </c>
      <c r="D62" s="16">
        <v>113</v>
      </c>
      <c r="E62" s="17" t="s">
        <v>407</v>
      </c>
      <c r="F62" s="17" t="s">
        <v>193</v>
      </c>
      <c r="G62" s="45"/>
      <c r="H62" s="21"/>
      <c r="I62" s="39">
        <v>0</v>
      </c>
      <c r="J62" s="39">
        <v>0.4</v>
      </c>
      <c r="K62" s="39">
        <v>0.4</v>
      </c>
      <c r="L62" s="39">
        <f>K62/J62*100</f>
        <v>100</v>
      </c>
      <c r="M62" s="78"/>
      <c r="N62" s="78"/>
      <c r="O62" s="78"/>
    </row>
    <row r="63" spans="1:15" ht="40.5" customHeight="1">
      <c r="A63" s="27">
        <v>55</v>
      </c>
      <c r="B63" s="14" t="s">
        <v>406</v>
      </c>
      <c r="C63" s="27">
        <v>901</v>
      </c>
      <c r="D63" s="15">
        <v>113</v>
      </c>
      <c r="E63" s="12" t="s">
        <v>408</v>
      </c>
      <c r="F63" s="12"/>
      <c r="G63" s="46"/>
      <c r="H63" s="47"/>
      <c r="I63" s="38">
        <f>SUM(I64)</f>
        <v>0</v>
      </c>
      <c r="J63" s="38">
        <f>SUM(J64)</f>
        <v>31</v>
      </c>
      <c r="K63" s="38">
        <f>SUM(K64)</f>
        <v>31</v>
      </c>
      <c r="L63" s="38">
        <f>SUM(L64)</f>
        <v>100</v>
      </c>
      <c r="M63" s="78"/>
      <c r="N63" s="78"/>
      <c r="O63" s="78"/>
    </row>
    <row r="64" spans="1:15" ht="26.25" customHeight="1">
      <c r="A64" s="27">
        <v>56</v>
      </c>
      <c r="B64" s="13" t="s">
        <v>275</v>
      </c>
      <c r="C64" s="29">
        <v>901</v>
      </c>
      <c r="D64" s="16">
        <v>113</v>
      </c>
      <c r="E64" s="17" t="s">
        <v>408</v>
      </c>
      <c r="F64" s="17" t="s">
        <v>193</v>
      </c>
      <c r="G64" s="45"/>
      <c r="H64" s="21"/>
      <c r="I64" s="39">
        <v>0</v>
      </c>
      <c r="J64" s="39">
        <v>31</v>
      </c>
      <c r="K64" s="39">
        <v>31</v>
      </c>
      <c r="L64" s="39">
        <f>K64/J64*100</f>
        <v>100</v>
      </c>
      <c r="M64" s="78"/>
      <c r="N64" s="78"/>
      <c r="O64" s="78"/>
    </row>
    <row r="65" spans="1:15" ht="26.25" customHeight="1">
      <c r="A65" s="27">
        <v>57</v>
      </c>
      <c r="B65" s="14" t="s">
        <v>422</v>
      </c>
      <c r="C65" s="27">
        <v>901</v>
      </c>
      <c r="D65" s="15">
        <v>113</v>
      </c>
      <c r="E65" s="12" t="s">
        <v>423</v>
      </c>
      <c r="F65" s="12"/>
      <c r="G65" s="46"/>
      <c r="H65" s="47"/>
      <c r="I65" s="38">
        <f>SUM(I66)</f>
        <v>0</v>
      </c>
      <c r="J65" s="38">
        <f>SUM(J66)</f>
        <v>200</v>
      </c>
      <c r="K65" s="38">
        <f>SUM(K66)</f>
        <v>200</v>
      </c>
      <c r="L65" s="38">
        <f>SUM(L66)</f>
        <v>100</v>
      </c>
      <c r="M65" s="78"/>
      <c r="N65" s="78"/>
      <c r="O65" s="78"/>
    </row>
    <row r="66" spans="1:15" ht="26.25" customHeight="1">
      <c r="A66" s="27">
        <v>58</v>
      </c>
      <c r="B66" s="13" t="s">
        <v>275</v>
      </c>
      <c r="C66" s="29">
        <v>901</v>
      </c>
      <c r="D66" s="16">
        <v>113</v>
      </c>
      <c r="E66" s="17" t="s">
        <v>423</v>
      </c>
      <c r="F66" s="17" t="s">
        <v>193</v>
      </c>
      <c r="G66" s="45"/>
      <c r="H66" s="21"/>
      <c r="I66" s="39">
        <v>0</v>
      </c>
      <c r="J66" s="39">
        <v>200</v>
      </c>
      <c r="K66" s="39">
        <v>200</v>
      </c>
      <c r="L66" s="39">
        <f>K66/J66*100</f>
        <v>100</v>
      </c>
      <c r="M66" s="78"/>
      <c r="N66" s="78"/>
      <c r="O66" s="78"/>
    </row>
    <row r="67" spans="1:15" ht="26.25" customHeight="1">
      <c r="A67" s="27">
        <v>59</v>
      </c>
      <c r="B67" s="79" t="s">
        <v>441</v>
      </c>
      <c r="C67" s="80">
        <v>901</v>
      </c>
      <c r="D67" s="81">
        <v>113</v>
      </c>
      <c r="E67" s="82" t="s">
        <v>442</v>
      </c>
      <c r="F67" s="82"/>
      <c r="G67" s="93"/>
      <c r="H67" s="94"/>
      <c r="I67" s="84">
        <f>SUM(I68)</f>
        <v>0</v>
      </c>
      <c r="J67" s="84">
        <f>SUM(J68)</f>
        <v>4000</v>
      </c>
      <c r="K67" s="84">
        <f>SUM(K68)</f>
        <v>4000</v>
      </c>
      <c r="L67" s="84">
        <f>SUM(L68)</f>
        <v>100</v>
      </c>
      <c r="M67" s="78"/>
      <c r="N67" s="78"/>
      <c r="O67" s="78"/>
    </row>
    <row r="68" spans="1:15" ht="26.25" customHeight="1">
      <c r="A68" s="27">
        <v>60</v>
      </c>
      <c r="B68" s="85" t="s">
        <v>440</v>
      </c>
      <c r="C68" s="86">
        <v>901</v>
      </c>
      <c r="D68" s="87">
        <v>113</v>
      </c>
      <c r="E68" s="88" t="s">
        <v>442</v>
      </c>
      <c r="F68" s="88" t="s">
        <v>443</v>
      </c>
      <c r="G68" s="95"/>
      <c r="H68" s="96"/>
      <c r="I68" s="90">
        <v>0</v>
      </c>
      <c r="J68" s="90">
        <v>4000</v>
      </c>
      <c r="K68" s="90">
        <v>4000</v>
      </c>
      <c r="L68" s="90">
        <f>K68/J68*100</f>
        <v>100</v>
      </c>
      <c r="M68" s="78"/>
      <c r="N68" s="78"/>
      <c r="O68" s="78"/>
    </row>
    <row r="69" spans="1:15" ht="19.5" customHeight="1">
      <c r="A69" s="27">
        <v>61</v>
      </c>
      <c r="B69" s="14" t="s">
        <v>8</v>
      </c>
      <c r="C69" s="27">
        <v>901</v>
      </c>
      <c r="D69" s="15">
        <v>200</v>
      </c>
      <c r="E69" s="12"/>
      <c r="F69" s="17"/>
      <c r="G69" s="37"/>
      <c r="H69" s="37"/>
      <c r="I69" s="38">
        <f t="shared" ref="I69:L71" si="7">I70</f>
        <v>246.3</v>
      </c>
      <c r="J69" s="38">
        <f t="shared" si="7"/>
        <v>246.3</v>
      </c>
      <c r="K69" s="38">
        <f t="shared" si="7"/>
        <v>246.3</v>
      </c>
      <c r="L69" s="38">
        <f t="shared" si="7"/>
        <v>100</v>
      </c>
      <c r="M69" s="78"/>
      <c r="N69" s="78"/>
      <c r="O69" s="78"/>
    </row>
    <row r="70" spans="1:15" ht="19.5" customHeight="1">
      <c r="A70" s="27">
        <v>62</v>
      </c>
      <c r="B70" s="14" t="s">
        <v>9</v>
      </c>
      <c r="C70" s="27">
        <v>901</v>
      </c>
      <c r="D70" s="15">
        <v>203</v>
      </c>
      <c r="E70" s="12"/>
      <c r="F70" s="17"/>
      <c r="G70" s="37"/>
      <c r="H70" s="37"/>
      <c r="I70" s="38">
        <f t="shared" si="7"/>
        <v>246.3</v>
      </c>
      <c r="J70" s="38">
        <f t="shared" si="7"/>
        <v>246.3</v>
      </c>
      <c r="K70" s="38">
        <f t="shared" si="7"/>
        <v>246.3</v>
      </c>
      <c r="L70" s="38">
        <f t="shared" si="7"/>
        <v>100</v>
      </c>
      <c r="M70" s="78"/>
      <c r="N70" s="78"/>
      <c r="O70" s="78"/>
    </row>
    <row r="71" spans="1:15" ht="18" customHeight="1">
      <c r="A71" s="27">
        <v>63</v>
      </c>
      <c r="B71" s="14" t="s">
        <v>63</v>
      </c>
      <c r="C71" s="27">
        <v>901</v>
      </c>
      <c r="D71" s="15">
        <v>203</v>
      </c>
      <c r="E71" s="12" t="s">
        <v>124</v>
      </c>
      <c r="F71" s="17"/>
      <c r="G71" s="37"/>
      <c r="H71" s="37"/>
      <c r="I71" s="38">
        <f t="shared" si="7"/>
        <v>246.3</v>
      </c>
      <c r="J71" s="38">
        <f t="shared" si="7"/>
        <v>246.3</v>
      </c>
      <c r="K71" s="38">
        <f t="shared" si="7"/>
        <v>246.3</v>
      </c>
      <c r="L71" s="38">
        <f t="shared" si="7"/>
        <v>100</v>
      </c>
      <c r="M71" s="78"/>
      <c r="N71" s="78"/>
      <c r="O71" s="78"/>
    </row>
    <row r="72" spans="1:15" ht="28.5" customHeight="1">
      <c r="A72" s="27">
        <v>64</v>
      </c>
      <c r="B72" s="14" t="s">
        <v>36</v>
      </c>
      <c r="C72" s="27">
        <v>901</v>
      </c>
      <c r="D72" s="15">
        <v>203</v>
      </c>
      <c r="E72" s="12" t="s">
        <v>140</v>
      </c>
      <c r="F72" s="17"/>
      <c r="G72" s="37"/>
      <c r="H72" s="37"/>
      <c r="I72" s="38">
        <f>I73+I74</f>
        <v>246.3</v>
      </c>
      <c r="J72" s="38">
        <f>J73+J74</f>
        <v>246.3</v>
      </c>
      <c r="K72" s="38">
        <f>K73+K74</f>
        <v>246.3</v>
      </c>
      <c r="L72" s="38">
        <f>K72/J72*100</f>
        <v>100</v>
      </c>
      <c r="M72" s="78"/>
      <c r="N72" s="78"/>
      <c r="O72" s="78"/>
    </row>
    <row r="73" spans="1:15" ht="25.5">
      <c r="A73" s="27">
        <v>65</v>
      </c>
      <c r="B73" s="13" t="s">
        <v>197</v>
      </c>
      <c r="C73" s="29">
        <v>901</v>
      </c>
      <c r="D73" s="16">
        <v>203</v>
      </c>
      <c r="E73" s="17" t="s">
        <v>141</v>
      </c>
      <c r="F73" s="17" t="s">
        <v>43</v>
      </c>
      <c r="G73" s="37"/>
      <c r="H73" s="37"/>
      <c r="I73" s="39">
        <f>225.9</f>
        <v>225.9</v>
      </c>
      <c r="J73" s="39">
        <f>225.9+0.44+0.233-1.189-0.294</f>
        <v>225.09</v>
      </c>
      <c r="K73" s="39">
        <f>225.9+0.44+0.233-1.189-0.294</f>
        <v>225.09</v>
      </c>
      <c r="L73" s="39">
        <f>K73/J73*100</f>
        <v>100</v>
      </c>
      <c r="M73" s="78"/>
      <c r="N73" s="78"/>
      <c r="O73" s="78"/>
    </row>
    <row r="74" spans="1:15" ht="28.5" customHeight="1">
      <c r="A74" s="27">
        <v>66</v>
      </c>
      <c r="B74" s="13" t="s">
        <v>196</v>
      </c>
      <c r="C74" s="29">
        <v>901</v>
      </c>
      <c r="D74" s="16">
        <v>203</v>
      </c>
      <c r="E74" s="17" t="s">
        <v>141</v>
      </c>
      <c r="F74" s="17" t="s">
        <v>67</v>
      </c>
      <c r="G74" s="44" t="s">
        <v>57</v>
      </c>
      <c r="H74" s="37"/>
      <c r="I74" s="39">
        <f>20.4</f>
        <v>20.399999999999999</v>
      </c>
      <c r="J74" s="39">
        <f>20.4-0.44-0.233+1.189+0.294</f>
        <v>21.209999999999997</v>
      </c>
      <c r="K74" s="39">
        <f>20.4-0.44-0.233+1.189+0.294</f>
        <v>21.209999999999997</v>
      </c>
      <c r="L74" s="39">
        <f>K74/J74*100</f>
        <v>100</v>
      </c>
      <c r="M74" s="78"/>
      <c r="N74" s="78"/>
      <c r="O74" s="78"/>
    </row>
    <row r="75" spans="1:15" ht="29.25" customHeight="1">
      <c r="A75" s="27">
        <v>67</v>
      </c>
      <c r="B75" s="14" t="s">
        <v>10</v>
      </c>
      <c r="C75" s="27">
        <v>901</v>
      </c>
      <c r="D75" s="15">
        <v>300</v>
      </c>
      <c r="E75" s="12"/>
      <c r="F75" s="17"/>
      <c r="G75" s="48" t="s">
        <v>46</v>
      </c>
      <c r="H75" s="37"/>
      <c r="I75" s="38">
        <f>I76+I87+I99</f>
        <v>10802</v>
      </c>
      <c r="J75" s="38">
        <f>J76+J87+J99</f>
        <v>10862.418</v>
      </c>
      <c r="K75" s="38">
        <f>K76+K87+K99</f>
        <v>10110.810999999998</v>
      </c>
      <c r="L75" s="38">
        <f>K75/J75*100</f>
        <v>93.080665833334692</v>
      </c>
      <c r="M75" s="78"/>
      <c r="N75" s="78"/>
      <c r="O75" s="78"/>
    </row>
    <row r="76" spans="1:15" ht="39" customHeight="1">
      <c r="A76" s="27">
        <v>68</v>
      </c>
      <c r="B76" s="14" t="s">
        <v>31</v>
      </c>
      <c r="C76" s="27">
        <v>901</v>
      </c>
      <c r="D76" s="15">
        <v>309</v>
      </c>
      <c r="E76" s="12"/>
      <c r="F76" s="17"/>
      <c r="G76" s="44" t="s">
        <v>58</v>
      </c>
      <c r="H76" s="37"/>
      <c r="I76" s="38">
        <f>SUM(I77+I82)</f>
        <v>5570</v>
      </c>
      <c r="J76" s="38">
        <f>SUM(J77+J82)</f>
        <v>5591.0680000000002</v>
      </c>
      <c r="K76" s="38">
        <f>SUM(K77+K82)</f>
        <v>4896.3949999999995</v>
      </c>
      <c r="L76" s="38">
        <f>K76/J76*100</f>
        <v>87.575307615646949</v>
      </c>
      <c r="M76" s="78"/>
      <c r="N76" s="78"/>
      <c r="O76" s="78"/>
    </row>
    <row r="77" spans="1:15" ht="41.25" customHeight="1">
      <c r="A77" s="27">
        <v>69</v>
      </c>
      <c r="B77" s="14" t="s">
        <v>285</v>
      </c>
      <c r="C77" s="27">
        <v>901</v>
      </c>
      <c r="D77" s="15">
        <v>309</v>
      </c>
      <c r="E77" s="12" t="s">
        <v>142</v>
      </c>
      <c r="F77" s="17"/>
      <c r="G77" s="48" t="s">
        <v>46</v>
      </c>
      <c r="H77" s="37"/>
      <c r="I77" s="38">
        <f>I78++I80</f>
        <v>770</v>
      </c>
      <c r="J77" s="38">
        <f>J78++J80</f>
        <v>925.01800000000003</v>
      </c>
      <c r="K77" s="38">
        <f>K78++K80</f>
        <v>915.26700000000005</v>
      </c>
      <c r="L77" s="38">
        <v>99</v>
      </c>
      <c r="M77" s="78"/>
      <c r="N77" s="78"/>
      <c r="O77" s="78"/>
    </row>
    <row r="78" spans="1:15" ht="27.75" customHeight="1">
      <c r="A78" s="27">
        <v>70</v>
      </c>
      <c r="B78" s="14" t="s">
        <v>115</v>
      </c>
      <c r="C78" s="27">
        <v>901</v>
      </c>
      <c r="D78" s="15">
        <v>309</v>
      </c>
      <c r="E78" s="12" t="s">
        <v>143</v>
      </c>
      <c r="F78" s="17"/>
      <c r="G78" s="44" t="s">
        <v>59</v>
      </c>
      <c r="H78" s="37"/>
      <c r="I78" s="38">
        <f>I79</f>
        <v>200</v>
      </c>
      <c r="J78" s="38">
        <f>J79</f>
        <v>234.018</v>
      </c>
      <c r="K78" s="38">
        <f>K79</f>
        <v>234.017</v>
      </c>
      <c r="L78" s="38">
        <f>L79</f>
        <v>99.99957268244323</v>
      </c>
      <c r="M78" s="78"/>
      <c r="N78" s="78"/>
      <c r="O78" s="78"/>
    </row>
    <row r="79" spans="1:15" ht="25.5" customHeight="1">
      <c r="A79" s="27">
        <v>71</v>
      </c>
      <c r="B79" s="13" t="s">
        <v>196</v>
      </c>
      <c r="C79" s="29">
        <v>901</v>
      </c>
      <c r="D79" s="16">
        <v>309</v>
      </c>
      <c r="E79" s="17" t="s">
        <v>143</v>
      </c>
      <c r="F79" s="17" t="s">
        <v>67</v>
      </c>
      <c r="G79" s="48" t="s">
        <v>46</v>
      </c>
      <c r="H79" s="37"/>
      <c r="I79" s="39">
        <f>200</f>
        <v>200</v>
      </c>
      <c r="J79" s="39">
        <f>200+34.018</f>
        <v>234.018</v>
      </c>
      <c r="K79" s="39">
        <v>234.017</v>
      </c>
      <c r="L79" s="39">
        <f>K79/J79*100</f>
        <v>99.99957268244323</v>
      </c>
      <c r="M79" s="78"/>
      <c r="N79" s="78"/>
      <c r="O79" s="78"/>
    </row>
    <row r="80" spans="1:15" ht="30.75" customHeight="1">
      <c r="A80" s="27">
        <v>72</v>
      </c>
      <c r="B80" s="49" t="s">
        <v>235</v>
      </c>
      <c r="C80" s="27">
        <v>901</v>
      </c>
      <c r="D80" s="15">
        <v>309</v>
      </c>
      <c r="E80" s="12" t="s">
        <v>144</v>
      </c>
      <c r="F80" s="17"/>
      <c r="G80" s="37"/>
      <c r="H80" s="37"/>
      <c r="I80" s="38">
        <f>I81</f>
        <v>570</v>
      </c>
      <c r="J80" s="38">
        <f>J81</f>
        <v>691</v>
      </c>
      <c r="K80" s="38">
        <f>K81</f>
        <v>681.25</v>
      </c>
      <c r="L80" s="38">
        <f>L81</f>
        <v>98.589001447178006</v>
      </c>
      <c r="M80" s="78"/>
      <c r="N80" s="78"/>
      <c r="O80" s="78"/>
    </row>
    <row r="81" spans="1:15" ht="27" customHeight="1">
      <c r="A81" s="27">
        <v>73</v>
      </c>
      <c r="B81" s="13" t="s">
        <v>196</v>
      </c>
      <c r="C81" s="29">
        <v>901</v>
      </c>
      <c r="D81" s="16">
        <v>309</v>
      </c>
      <c r="E81" s="17" t="s">
        <v>144</v>
      </c>
      <c r="F81" s="17" t="s">
        <v>67</v>
      </c>
      <c r="G81" s="37"/>
      <c r="H81" s="37"/>
      <c r="I81" s="39">
        <f>570</f>
        <v>570</v>
      </c>
      <c r="J81" s="39">
        <f>570+121</f>
        <v>691</v>
      </c>
      <c r="K81" s="39">
        <v>681.25</v>
      </c>
      <c r="L81" s="39">
        <f t="shared" ref="L81:L86" si="8">K81/J81*100</f>
        <v>98.589001447178006</v>
      </c>
      <c r="M81" s="78"/>
      <c r="N81" s="78"/>
      <c r="O81" s="78"/>
    </row>
    <row r="82" spans="1:15" ht="40.5" customHeight="1">
      <c r="A82" s="27">
        <v>74</v>
      </c>
      <c r="B82" s="14" t="s">
        <v>384</v>
      </c>
      <c r="C82" s="27">
        <v>901</v>
      </c>
      <c r="D82" s="15">
        <v>309</v>
      </c>
      <c r="E82" s="12" t="s">
        <v>132</v>
      </c>
      <c r="F82" s="17"/>
      <c r="G82" s="37"/>
      <c r="H82" s="37"/>
      <c r="I82" s="38">
        <f>SUM(I83)</f>
        <v>4800</v>
      </c>
      <c r="J82" s="38">
        <f>SUM(J83)</f>
        <v>4666.05</v>
      </c>
      <c r="K82" s="38">
        <f>SUM(K83)</f>
        <v>3981.1279999999997</v>
      </c>
      <c r="L82" s="38">
        <f t="shared" si="8"/>
        <v>85.321160296181986</v>
      </c>
      <c r="M82" s="78"/>
      <c r="N82" s="78"/>
      <c r="O82" s="78"/>
    </row>
    <row r="83" spans="1:15" ht="48" customHeight="1">
      <c r="A83" s="27">
        <v>75</v>
      </c>
      <c r="B83" s="14" t="s">
        <v>76</v>
      </c>
      <c r="C83" s="27">
        <v>901</v>
      </c>
      <c r="D83" s="15">
        <v>309</v>
      </c>
      <c r="E83" s="12" t="s">
        <v>145</v>
      </c>
      <c r="F83" s="17"/>
      <c r="G83" s="37"/>
      <c r="H83" s="37"/>
      <c r="I83" s="38">
        <f>SUM(I84:I86)</f>
        <v>4800</v>
      </c>
      <c r="J83" s="38">
        <f>SUM(J84:J86)</f>
        <v>4666.05</v>
      </c>
      <c r="K83" s="38">
        <f>SUM(K84:K86)</f>
        <v>3981.1279999999997</v>
      </c>
      <c r="L83" s="38">
        <f t="shared" si="8"/>
        <v>85.321160296181986</v>
      </c>
      <c r="M83" s="78"/>
      <c r="N83" s="78"/>
      <c r="O83" s="78"/>
    </row>
    <row r="84" spans="1:15" ht="18" customHeight="1">
      <c r="A84" s="27">
        <v>76</v>
      </c>
      <c r="B84" s="13" t="s">
        <v>38</v>
      </c>
      <c r="C84" s="29">
        <v>901</v>
      </c>
      <c r="D84" s="16">
        <v>309</v>
      </c>
      <c r="E84" s="17" t="s">
        <v>145</v>
      </c>
      <c r="F84" s="17" t="s">
        <v>37</v>
      </c>
      <c r="G84" s="37"/>
      <c r="H84" s="37"/>
      <c r="I84" s="39">
        <f>3808.9</f>
        <v>3808.9</v>
      </c>
      <c r="J84" s="39">
        <f>3808.9-30.878</f>
        <v>3778.0219999999999</v>
      </c>
      <c r="K84" s="39">
        <v>3093.1</v>
      </c>
      <c r="L84" s="39">
        <f t="shared" si="8"/>
        <v>81.87088375874994</v>
      </c>
      <c r="M84" s="78"/>
      <c r="N84" s="78"/>
      <c r="O84" s="78"/>
    </row>
    <row r="85" spans="1:15" ht="27" customHeight="1">
      <c r="A85" s="27">
        <v>77</v>
      </c>
      <c r="B85" s="13" t="s">
        <v>196</v>
      </c>
      <c r="C85" s="29">
        <v>901</v>
      </c>
      <c r="D85" s="16">
        <v>309</v>
      </c>
      <c r="E85" s="17" t="s">
        <v>145</v>
      </c>
      <c r="F85" s="17" t="s">
        <v>67</v>
      </c>
      <c r="G85" s="37"/>
      <c r="H85" s="37"/>
      <c r="I85" s="39">
        <f>991.1</f>
        <v>991.1</v>
      </c>
      <c r="J85" s="39">
        <f>991.1+129.9+85-10-317.972</f>
        <v>878.02800000000002</v>
      </c>
      <c r="K85" s="39">
        <f>991.1+129.9+85-10-317.972</f>
        <v>878.02800000000002</v>
      </c>
      <c r="L85" s="39">
        <f t="shared" si="8"/>
        <v>100</v>
      </c>
      <c r="M85" s="78"/>
      <c r="N85" s="78"/>
      <c r="O85" s="78"/>
    </row>
    <row r="86" spans="1:15" ht="18" customHeight="1">
      <c r="A86" s="27">
        <v>78</v>
      </c>
      <c r="B86" s="43" t="s">
        <v>192</v>
      </c>
      <c r="C86" s="29">
        <v>901</v>
      </c>
      <c r="D86" s="16">
        <v>309</v>
      </c>
      <c r="E86" s="17" t="s">
        <v>145</v>
      </c>
      <c r="F86" s="17" t="s">
        <v>193</v>
      </c>
      <c r="G86" s="37"/>
      <c r="H86" s="37"/>
      <c r="I86" s="39">
        <v>0</v>
      </c>
      <c r="J86" s="39">
        <v>10</v>
      </c>
      <c r="K86" s="39">
        <v>10</v>
      </c>
      <c r="L86" s="39">
        <f t="shared" si="8"/>
        <v>100</v>
      </c>
      <c r="M86" s="78"/>
      <c r="N86" s="78"/>
      <c r="O86" s="78"/>
    </row>
    <row r="87" spans="1:15" ht="26.25" customHeight="1">
      <c r="A87" s="27">
        <v>79</v>
      </c>
      <c r="B87" s="14" t="s">
        <v>62</v>
      </c>
      <c r="C87" s="27">
        <v>901</v>
      </c>
      <c r="D87" s="15">
        <v>310</v>
      </c>
      <c r="E87" s="12"/>
      <c r="F87" s="17"/>
      <c r="G87" s="37"/>
      <c r="H87" s="37"/>
      <c r="I87" s="38">
        <f t="shared" ref="I87:L88" si="9">SUM(I88)</f>
        <v>4909.5</v>
      </c>
      <c r="J87" s="38">
        <f t="shared" si="9"/>
        <v>4964.5159999999996</v>
      </c>
      <c r="K87" s="38">
        <f t="shared" si="9"/>
        <v>4956.616</v>
      </c>
      <c r="L87" s="38">
        <f t="shared" si="9"/>
        <v>99.840870691120756</v>
      </c>
      <c r="M87" s="78"/>
      <c r="N87" s="78"/>
      <c r="O87" s="78"/>
    </row>
    <row r="88" spans="1:15" ht="29.25" customHeight="1">
      <c r="A88" s="27">
        <v>80</v>
      </c>
      <c r="B88" s="14" t="s">
        <v>286</v>
      </c>
      <c r="C88" s="27">
        <v>901</v>
      </c>
      <c r="D88" s="15">
        <v>310</v>
      </c>
      <c r="E88" s="12" t="s">
        <v>146</v>
      </c>
      <c r="F88" s="17"/>
      <c r="G88" s="37"/>
      <c r="H88" s="37"/>
      <c r="I88" s="38">
        <f t="shared" si="9"/>
        <v>4909.5</v>
      </c>
      <c r="J88" s="38">
        <f t="shared" si="9"/>
        <v>4964.5159999999996</v>
      </c>
      <c r="K88" s="38">
        <f t="shared" si="9"/>
        <v>4956.616</v>
      </c>
      <c r="L88" s="38">
        <f t="shared" si="9"/>
        <v>99.840870691120756</v>
      </c>
      <c r="M88" s="78"/>
      <c r="N88" s="78"/>
      <c r="O88" s="78"/>
    </row>
    <row r="89" spans="1:15" ht="54.75" customHeight="1">
      <c r="A89" s="27">
        <v>81</v>
      </c>
      <c r="B89" s="49" t="s">
        <v>236</v>
      </c>
      <c r="C89" s="27">
        <v>901</v>
      </c>
      <c r="D89" s="15">
        <v>310</v>
      </c>
      <c r="E89" s="12" t="s">
        <v>146</v>
      </c>
      <c r="F89" s="12"/>
      <c r="G89" s="37"/>
      <c r="H89" s="37"/>
      <c r="I89" s="38">
        <f>SUM(I90+I92+I95+I97)</f>
        <v>4909.5</v>
      </c>
      <c r="J89" s="38">
        <f>SUM(J90+J92+J95+J97)</f>
        <v>4964.5159999999996</v>
      </c>
      <c r="K89" s="38">
        <f>SUM(K90+K92+K95+K97)</f>
        <v>4956.616</v>
      </c>
      <c r="L89" s="38">
        <f>K89/J89*100</f>
        <v>99.840870691120756</v>
      </c>
      <c r="M89" s="78"/>
      <c r="N89" s="78"/>
      <c r="O89" s="78"/>
    </row>
    <row r="90" spans="1:15" ht="60" customHeight="1">
      <c r="A90" s="27">
        <v>82</v>
      </c>
      <c r="B90" s="14" t="s">
        <v>202</v>
      </c>
      <c r="C90" s="27">
        <v>901</v>
      </c>
      <c r="D90" s="15">
        <v>310</v>
      </c>
      <c r="E90" s="12" t="s">
        <v>147</v>
      </c>
      <c r="F90" s="17"/>
      <c r="G90" s="37"/>
      <c r="H90" s="37"/>
      <c r="I90" s="38">
        <f>SUM(I91:I91)</f>
        <v>4491</v>
      </c>
      <c r="J90" s="38">
        <f>SUM(J91:J91)</f>
        <v>4491</v>
      </c>
      <c r="K90" s="38">
        <f>SUM(K91:K91)</f>
        <v>4491</v>
      </c>
      <c r="L90" s="38">
        <f>SUM(L91:L91)</f>
        <v>100</v>
      </c>
      <c r="M90" s="78"/>
      <c r="N90" s="78"/>
      <c r="O90" s="78"/>
    </row>
    <row r="91" spans="1:15" ht="43.5" customHeight="1">
      <c r="A91" s="27">
        <v>83</v>
      </c>
      <c r="B91" s="13" t="s">
        <v>303</v>
      </c>
      <c r="C91" s="29">
        <v>901</v>
      </c>
      <c r="D91" s="16">
        <v>310</v>
      </c>
      <c r="E91" s="17" t="s">
        <v>147</v>
      </c>
      <c r="F91" s="17" t="s">
        <v>220</v>
      </c>
      <c r="G91" s="37"/>
      <c r="H91" s="37"/>
      <c r="I91" s="39">
        <v>4491</v>
      </c>
      <c r="J91" s="39">
        <v>4491</v>
      </c>
      <c r="K91" s="39">
        <v>4491</v>
      </c>
      <c r="L91" s="39">
        <f>K91/J91*100</f>
        <v>100</v>
      </c>
      <c r="M91" s="78"/>
      <c r="N91" s="78"/>
      <c r="O91" s="78"/>
    </row>
    <row r="92" spans="1:15" ht="29.25" customHeight="1">
      <c r="A92" s="27">
        <v>84</v>
      </c>
      <c r="B92" s="14" t="s">
        <v>77</v>
      </c>
      <c r="C92" s="27">
        <v>901</v>
      </c>
      <c r="D92" s="15">
        <v>310</v>
      </c>
      <c r="E92" s="12" t="s">
        <v>386</v>
      </c>
      <c r="F92" s="17"/>
      <c r="G92" s="37"/>
      <c r="H92" s="37"/>
      <c r="I92" s="38">
        <f>I93+I94</f>
        <v>45</v>
      </c>
      <c r="J92" s="38">
        <f>J93+J94</f>
        <v>40.015999999999998</v>
      </c>
      <c r="K92" s="38">
        <f>K93+K94</f>
        <v>32.816000000000003</v>
      </c>
      <c r="L92" s="38">
        <f>K92/J92*100</f>
        <v>82.007197121151549</v>
      </c>
      <c r="M92" s="78"/>
      <c r="N92" s="78"/>
      <c r="O92" s="78"/>
    </row>
    <row r="93" spans="1:15" ht="27.75" customHeight="1">
      <c r="A93" s="27">
        <v>85</v>
      </c>
      <c r="B93" s="13" t="s">
        <v>196</v>
      </c>
      <c r="C93" s="29">
        <v>901</v>
      </c>
      <c r="D93" s="16">
        <v>310</v>
      </c>
      <c r="E93" s="17" t="s">
        <v>386</v>
      </c>
      <c r="F93" s="17" t="s">
        <v>67</v>
      </c>
      <c r="G93" s="37"/>
      <c r="H93" s="37"/>
      <c r="I93" s="39">
        <f>14</f>
        <v>14</v>
      </c>
      <c r="J93" s="39">
        <f>14-4.984</f>
        <v>9.016</v>
      </c>
      <c r="K93" s="39">
        <f>14-4.984</f>
        <v>9.016</v>
      </c>
      <c r="L93" s="39">
        <f>K93/J93*100</f>
        <v>100</v>
      </c>
      <c r="M93" s="78"/>
      <c r="N93" s="78"/>
      <c r="O93" s="78"/>
    </row>
    <row r="94" spans="1:15" ht="42.75" customHeight="1">
      <c r="A94" s="27">
        <v>86</v>
      </c>
      <c r="B94" s="50" t="s">
        <v>304</v>
      </c>
      <c r="C94" s="29">
        <v>901</v>
      </c>
      <c r="D94" s="16">
        <v>310</v>
      </c>
      <c r="E94" s="17" t="s">
        <v>386</v>
      </c>
      <c r="F94" s="17" t="s">
        <v>220</v>
      </c>
      <c r="G94" s="40"/>
      <c r="H94" s="40"/>
      <c r="I94" s="39">
        <v>31</v>
      </c>
      <c r="J94" s="39">
        <v>31</v>
      </c>
      <c r="K94" s="39">
        <v>23.8</v>
      </c>
      <c r="L94" s="39">
        <f>K94/J94*100</f>
        <v>76.774193548387103</v>
      </c>
      <c r="M94" s="78"/>
      <c r="N94" s="78"/>
      <c r="O94" s="78"/>
    </row>
    <row r="95" spans="1:15" ht="27.75" customHeight="1">
      <c r="A95" s="80">
        <v>87</v>
      </c>
      <c r="B95" s="51" t="s">
        <v>199</v>
      </c>
      <c r="C95" s="27">
        <v>901</v>
      </c>
      <c r="D95" s="15">
        <v>310</v>
      </c>
      <c r="E95" s="12" t="s">
        <v>148</v>
      </c>
      <c r="F95" s="12"/>
      <c r="G95" s="40"/>
      <c r="H95" s="40"/>
      <c r="I95" s="38">
        <f>SUM(I96)</f>
        <v>373.5</v>
      </c>
      <c r="J95" s="38">
        <f>SUM(J96)</f>
        <v>373.5</v>
      </c>
      <c r="K95" s="38">
        <f>SUM(K96)</f>
        <v>372.8</v>
      </c>
      <c r="L95" s="38">
        <f>SUM(L96)</f>
        <v>99.81258366800536</v>
      </c>
      <c r="M95" s="78"/>
      <c r="N95" s="78"/>
      <c r="O95" s="78"/>
    </row>
    <row r="96" spans="1:15" ht="25.5" customHeight="1">
      <c r="A96" s="80">
        <v>88</v>
      </c>
      <c r="B96" s="13" t="s">
        <v>196</v>
      </c>
      <c r="C96" s="29">
        <v>901</v>
      </c>
      <c r="D96" s="16">
        <v>310</v>
      </c>
      <c r="E96" s="17" t="s">
        <v>148</v>
      </c>
      <c r="F96" s="17" t="s">
        <v>67</v>
      </c>
      <c r="G96" s="40"/>
      <c r="H96" s="40"/>
      <c r="I96" s="39">
        <v>373.5</v>
      </c>
      <c r="J96" s="39">
        <v>373.5</v>
      </c>
      <c r="K96" s="39">
        <v>372.8</v>
      </c>
      <c r="L96" s="39">
        <f>K96/J96*100</f>
        <v>99.81258366800536</v>
      </c>
      <c r="M96" s="78"/>
      <c r="N96" s="78"/>
      <c r="O96" s="78"/>
    </row>
    <row r="97" spans="1:15" ht="30.75" customHeight="1">
      <c r="A97" s="27">
        <v>89</v>
      </c>
      <c r="B97" s="79" t="s">
        <v>458</v>
      </c>
      <c r="C97" s="80">
        <v>901</v>
      </c>
      <c r="D97" s="81">
        <v>310</v>
      </c>
      <c r="E97" s="82" t="s">
        <v>459</v>
      </c>
      <c r="F97" s="82"/>
      <c r="G97" s="83"/>
      <c r="H97" s="83"/>
      <c r="I97" s="84">
        <f>SUM(I98)</f>
        <v>0</v>
      </c>
      <c r="J97" s="84">
        <f>SUM(J98)</f>
        <v>60</v>
      </c>
      <c r="K97" s="84">
        <f>SUM(K98)</f>
        <v>60</v>
      </c>
      <c r="L97" s="84">
        <f>SUM(L98)</f>
        <v>100</v>
      </c>
      <c r="M97" s="78"/>
      <c r="N97" s="78"/>
      <c r="O97" s="78"/>
    </row>
    <row r="98" spans="1:15" ht="25.5" customHeight="1">
      <c r="A98" s="27">
        <v>90</v>
      </c>
      <c r="B98" s="85" t="s">
        <v>196</v>
      </c>
      <c r="C98" s="86">
        <v>901</v>
      </c>
      <c r="D98" s="87">
        <v>310</v>
      </c>
      <c r="E98" s="88" t="s">
        <v>459</v>
      </c>
      <c r="F98" s="88" t="s">
        <v>67</v>
      </c>
      <c r="G98" s="83"/>
      <c r="H98" s="83"/>
      <c r="I98" s="90">
        <v>0</v>
      </c>
      <c r="J98" s="90">
        <v>60</v>
      </c>
      <c r="K98" s="90">
        <v>60</v>
      </c>
      <c r="L98" s="90">
        <f>K98/J98*100</f>
        <v>100</v>
      </c>
      <c r="M98" s="78"/>
      <c r="N98" s="78"/>
      <c r="O98" s="78"/>
    </row>
    <row r="99" spans="1:15" ht="30.75" customHeight="1">
      <c r="A99" s="27">
        <v>91</v>
      </c>
      <c r="B99" s="14" t="s">
        <v>60</v>
      </c>
      <c r="C99" s="27">
        <v>901</v>
      </c>
      <c r="D99" s="15">
        <v>314</v>
      </c>
      <c r="E99" s="12"/>
      <c r="F99" s="17"/>
      <c r="G99" s="37"/>
      <c r="H99" s="37"/>
      <c r="I99" s="38">
        <f>SUM(I100+I104+I109+I114+I119)</f>
        <v>322.5</v>
      </c>
      <c r="J99" s="38">
        <f>SUM(J100+J104+J109+J114+J119)</f>
        <v>306.834</v>
      </c>
      <c r="K99" s="38">
        <f>SUM(K100+K104+K109+K114+K119)</f>
        <v>257.8</v>
      </c>
      <c r="L99" s="38">
        <f>K99/J99*100</f>
        <v>84.019372038300844</v>
      </c>
      <c r="M99" s="78"/>
      <c r="N99" s="78"/>
      <c r="O99" s="78"/>
    </row>
    <row r="100" spans="1:15" ht="45" customHeight="1">
      <c r="A100" s="27">
        <v>92</v>
      </c>
      <c r="B100" s="14" t="s">
        <v>288</v>
      </c>
      <c r="C100" s="27">
        <v>901</v>
      </c>
      <c r="D100" s="15">
        <v>314</v>
      </c>
      <c r="E100" s="12" t="s">
        <v>391</v>
      </c>
      <c r="F100" s="17"/>
      <c r="G100" s="37"/>
      <c r="H100" s="37"/>
      <c r="I100" s="38">
        <f t="shared" ref="I100:K102" si="10">SUM(I101)</f>
        <v>20</v>
      </c>
      <c r="J100" s="38">
        <f t="shared" si="10"/>
        <v>20</v>
      </c>
      <c r="K100" s="38">
        <f t="shared" si="10"/>
        <v>20</v>
      </c>
      <c r="L100" s="38">
        <f>K100/J100*100</f>
        <v>100</v>
      </c>
      <c r="M100" s="78"/>
      <c r="N100" s="78"/>
      <c r="O100" s="78"/>
    </row>
    <row r="101" spans="1:15" ht="57.75" customHeight="1">
      <c r="A101" s="27">
        <v>93</v>
      </c>
      <c r="B101" s="52" t="s">
        <v>387</v>
      </c>
      <c r="C101" s="27">
        <v>901</v>
      </c>
      <c r="D101" s="15">
        <v>314</v>
      </c>
      <c r="E101" s="12" t="s">
        <v>389</v>
      </c>
      <c r="F101" s="12"/>
      <c r="G101" s="37"/>
      <c r="H101" s="37"/>
      <c r="I101" s="38">
        <f t="shared" si="10"/>
        <v>20</v>
      </c>
      <c r="J101" s="38">
        <f t="shared" si="10"/>
        <v>20</v>
      </c>
      <c r="K101" s="38">
        <f t="shared" si="10"/>
        <v>20</v>
      </c>
      <c r="L101" s="38">
        <f>K101/J101*100</f>
        <v>100</v>
      </c>
      <c r="M101" s="78"/>
      <c r="N101" s="78"/>
      <c r="O101" s="78"/>
    </row>
    <row r="102" spans="1:15" ht="38.25" customHeight="1">
      <c r="A102" s="27">
        <v>94</v>
      </c>
      <c r="B102" s="44" t="s">
        <v>388</v>
      </c>
      <c r="C102" s="27">
        <v>901</v>
      </c>
      <c r="D102" s="15">
        <v>314</v>
      </c>
      <c r="E102" s="12" t="s">
        <v>390</v>
      </c>
      <c r="F102" s="12"/>
      <c r="G102" s="37"/>
      <c r="H102" s="37"/>
      <c r="I102" s="38">
        <f t="shared" si="10"/>
        <v>20</v>
      </c>
      <c r="J102" s="38">
        <f t="shared" si="10"/>
        <v>20</v>
      </c>
      <c r="K102" s="38">
        <f t="shared" si="10"/>
        <v>20</v>
      </c>
      <c r="L102" s="38">
        <f>SUM(L103)</f>
        <v>100</v>
      </c>
      <c r="M102" s="78"/>
      <c r="N102" s="78"/>
      <c r="O102" s="78"/>
    </row>
    <row r="103" spans="1:15" ht="29.25" customHeight="1">
      <c r="A103" s="27">
        <v>95</v>
      </c>
      <c r="B103" s="13" t="s">
        <v>196</v>
      </c>
      <c r="C103" s="29">
        <v>901</v>
      </c>
      <c r="D103" s="16">
        <v>314</v>
      </c>
      <c r="E103" s="17" t="s">
        <v>390</v>
      </c>
      <c r="F103" s="17" t="s">
        <v>67</v>
      </c>
      <c r="G103" s="37"/>
      <c r="H103" s="37"/>
      <c r="I103" s="39">
        <v>20</v>
      </c>
      <c r="J103" s="39">
        <v>20</v>
      </c>
      <c r="K103" s="39">
        <v>20</v>
      </c>
      <c r="L103" s="39">
        <f>K103/J103*100</f>
        <v>100</v>
      </c>
      <c r="M103" s="78"/>
      <c r="N103" s="78"/>
      <c r="O103" s="78"/>
    </row>
    <row r="104" spans="1:15" ht="45" customHeight="1">
      <c r="A104" s="27">
        <v>96</v>
      </c>
      <c r="B104" s="14" t="s">
        <v>203</v>
      </c>
      <c r="C104" s="27">
        <v>901</v>
      </c>
      <c r="D104" s="15">
        <v>314</v>
      </c>
      <c r="E104" s="12" t="s">
        <v>207</v>
      </c>
      <c r="F104" s="12"/>
      <c r="G104" s="37"/>
      <c r="H104" s="37"/>
      <c r="I104" s="38">
        <f>SUM(I105+I107)</f>
        <v>20</v>
      </c>
      <c r="J104" s="38">
        <f>SUM(J105+J107)</f>
        <v>20</v>
      </c>
      <c r="K104" s="38">
        <f>SUM(K105+K107)</f>
        <v>20</v>
      </c>
      <c r="L104" s="38">
        <f>K104/J104*100</f>
        <v>100</v>
      </c>
      <c r="M104" s="78"/>
      <c r="N104" s="78"/>
      <c r="O104" s="78"/>
    </row>
    <row r="105" spans="1:15" ht="39" customHeight="1">
      <c r="A105" s="27">
        <v>97</v>
      </c>
      <c r="B105" s="49" t="s">
        <v>237</v>
      </c>
      <c r="C105" s="27">
        <v>901</v>
      </c>
      <c r="D105" s="15">
        <v>314</v>
      </c>
      <c r="E105" s="12" t="s">
        <v>208</v>
      </c>
      <c r="F105" s="12"/>
      <c r="G105" s="37"/>
      <c r="H105" s="37"/>
      <c r="I105" s="38">
        <f>SUM(I106)</f>
        <v>10</v>
      </c>
      <c r="J105" s="38">
        <f>SUM(J106)</f>
        <v>10</v>
      </c>
      <c r="K105" s="38">
        <f>SUM(K106)</f>
        <v>10</v>
      </c>
      <c r="L105" s="38">
        <f>SUM(L106)</f>
        <v>100</v>
      </c>
      <c r="M105" s="78"/>
      <c r="N105" s="78"/>
      <c r="O105" s="78"/>
    </row>
    <row r="106" spans="1:15" ht="29.25" customHeight="1">
      <c r="A106" s="27">
        <v>98</v>
      </c>
      <c r="B106" s="13" t="s">
        <v>196</v>
      </c>
      <c r="C106" s="29">
        <v>901</v>
      </c>
      <c r="D106" s="16">
        <v>314</v>
      </c>
      <c r="E106" s="17" t="s">
        <v>208</v>
      </c>
      <c r="F106" s="17" t="s">
        <v>67</v>
      </c>
      <c r="G106" s="37"/>
      <c r="H106" s="37"/>
      <c r="I106" s="39">
        <v>10</v>
      </c>
      <c r="J106" s="39">
        <v>10</v>
      </c>
      <c r="K106" s="39">
        <v>10</v>
      </c>
      <c r="L106" s="39">
        <f>K106/J106*100</f>
        <v>100</v>
      </c>
      <c r="M106" s="78"/>
      <c r="N106" s="78"/>
      <c r="O106" s="78"/>
    </row>
    <row r="107" spans="1:15" ht="29.25" customHeight="1">
      <c r="A107" s="27">
        <v>99</v>
      </c>
      <c r="B107" s="49" t="s">
        <v>204</v>
      </c>
      <c r="C107" s="27">
        <v>901</v>
      </c>
      <c r="D107" s="15">
        <v>314</v>
      </c>
      <c r="E107" s="12" t="s">
        <v>209</v>
      </c>
      <c r="F107" s="12"/>
      <c r="G107" s="37"/>
      <c r="H107" s="37"/>
      <c r="I107" s="38">
        <f>SUM(I108)</f>
        <v>10</v>
      </c>
      <c r="J107" s="38">
        <f>SUM(J108)</f>
        <v>10</v>
      </c>
      <c r="K107" s="38">
        <f>SUM(K108)</f>
        <v>10</v>
      </c>
      <c r="L107" s="38">
        <f>SUM(L108)</f>
        <v>100</v>
      </c>
      <c r="M107" s="78"/>
      <c r="N107" s="78"/>
      <c r="O107" s="78"/>
    </row>
    <row r="108" spans="1:15" ht="29.25" customHeight="1">
      <c r="A108" s="27">
        <v>100</v>
      </c>
      <c r="B108" s="13" t="s">
        <v>196</v>
      </c>
      <c r="C108" s="29">
        <v>901</v>
      </c>
      <c r="D108" s="16">
        <v>314</v>
      </c>
      <c r="E108" s="17" t="s">
        <v>209</v>
      </c>
      <c r="F108" s="17" t="s">
        <v>67</v>
      </c>
      <c r="G108" s="37"/>
      <c r="H108" s="37"/>
      <c r="I108" s="39">
        <v>10</v>
      </c>
      <c r="J108" s="39">
        <v>10</v>
      </c>
      <c r="K108" s="39">
        <v>10</v>
      </c>
      <c r="L108" s="39">
        <f>K108/J108*100</f>
        <v>100</v>
      </c>
      <c r="M108" s="78"/>
      <c r="N108" s="78"/>
      <c r="O108" s="78"/>
    </row>
    <row r="109" spans="1:15" ht="48" customHeight="1">
      <c r="A109" s="27">
        <v>101</v>
      </c>
      <c r="B109" s="53" t="s">
        <v>297</v>
      </c>
      <c r="C109" s="27">
        <v>901</v>
      </c>
      <c r="D109" s="15">
        <v>314</v>
      </c>
      <c r="E109" s="12" t="s">
        <v>210</v>
      </c>
      <c r="F109" s="12"/>
      <c r="G109" s="37"/>
      <c r="H109" s="37"/>
      <c r="I109" s="38">
        <f>SUM(I110+I112)</f>
        <v>8</v>
      </c>
      <c r="J109" s="38">
        <f>SUM(J110+J112)</f>
        <v>8</v>
      </c>
      <c r="K109" s="38">
        <f>SUM(K110+K112)</f>
        <v>8</v>
      </c>
      <c r="L109" s="38">
        <f>K109/J109*100</f>
        <v>100</v>
      </c>
      <c r="M109" s="78"/>
      <c r="N109" s="78"/>
      <c r="O109" s="78"/>
    </row>
    <row r="110" spans="1:15" ht="29.25" customHeight="1">
      <c r="A110" s="27">
        <v>102</v>
      </c>
      <c r="B110" s="52" t="s">
        <v>205</v>
      </c>
      <c r="C110" s="27">
        <v>901</v>
      </c>
      <c r="D110" s="15">
        <v>314</v>
      </c>
      <c r="E110" s="12" t="s">
        <v>211</v>
      </c>
      <c r="F110" s="12"/>
      <c r="G110" s="37"/>
      <c r="H110" s="37"/>
      <c r="I110" s="38">
        <f>SUM(I111)</f>
        <v>2</v>
      </c>
      <c r="J110" s="38">
        <f>SUM(J111)</f>
        <v>2</v>
      </c>
      <c r="K110" s="38">
        <f>SUM(K111)</f>
        <v>2</v>
      </c>
      <c r="L110" s="38">
        <f>SUM(L111)</f>
        <v>100</v>
      </c>
      <c r="M110" s="78"/>
      <c r="N110" s="78"/>
      <c r="O110" s="78"/>
    </row>
    <row r="111" spans="1:15" ht="29.25" customHeight="1">
      <c r="A111" s="27">
        <v>103</v>
      </c>
      <c r="B111" s="13" t="s">
        <v>196</v>
      </c>
      <c r="C111" s="29">
        <v>901</v>
      </c>
      <c r="D111" s="16">
        <v>314</v>
      </c>
      <c r="E111" s="17" t="s">
        <v>211</v>
      </c>
      <c r="F111" s="17" t="s">
        <v>67</v>
      </c>
      <c r="G111" s="37"/>
      <c r="H111" s="37"/>
      <c r="I111" s="39">
        <v>2</v>
      </c>
      <c r="J111" s="39">
        <v>2</v>
      </c>
      <c r="K111" s="39">
        <v>2</v>
      </c>
      <c r="L111" s="39">
        <f>K111/J111*100</f>
        <v>100</v>
      </c>
      <c r="M111" s="78"/>
      <c r="N111" s="78"/>
      <c r="O111" s="78"/>
    </row>
    <row r="112" spans="1:15" ht="53.25" customHeight="1">
      <c r="A112" s="27">
        <v>104</v>
      </c>
      <c r="B112" s="52" t="s">
        <v>206</v>
      </c>
      <c r="C112" s="27">
        <v>901</v>
      </c>
      <c r="D112" s="15">
        <v>314</v>
      </c>
      <c r="E112" s="12" t="s">
        <v>212</v>
      </c>
      <c r="F112" s="12"/>
      <c r="G112" s="37"/>
      <c r="H112" s="37"/>
      <c r="I112" s="38">
        <f>SUM(I113)</f>
        <v>6</v>
      </c>
      <c r="J112" s="38">
        <f>SUM(J113)</f>
        <v>6</v>
      </c>
      <c r="K112" s="38">
        <f>SUM(K113)</f>
        <v>6</v>
      </c>
      <c r="L112" s="38">
        <f>SUM(L113)</f>
        <v>100</v>
      </c>
      <c r="M112" s="78"/>
      <c r="N112" s="78"/>
      <c r="O112" s="78"/>
    </row>
    <row r="113" spans="1:15" ht="29.25" customHeight="1">
      <c r="A113" s="27">
        <v>105</v>
      </c>
      <c r="B113" s="13" t="s">
        <v>196</v>
      </c>
      <c r="C113" s="29">
        <v>901</v>
      </c>
      <c r="D113" s="16">
        <v>314</v>
      </c>
      <c r="E113" s="17" t="s">
        <v>212</v>
      </c>
      <c r="F113" s="17" t="s">
        <v>67</v>
      </c>
      <c r="G113" s="37"/>
      <c r="H113" s="37"/>
      <c r="I113" s="39">
        <v>6</v>
      </c>
      <c r="J113" s="39">
        <v>6</v>
      </c>
      <c r="K113" s="39">
        <v>6</v>
      </c>
      <c r="L113" s="39">
        <f>K113/J113*100</f>
        <v>100</v>
      </c>
      <c r="M113" s="78"/>
      <c r="N113" s="78"/>
      <c r="O113" s="78"/>
    </row>
    <row r="114" spans="1:15" ht="43.5" customHeight="1">
      <c r="A114" s="27">
        <v>106</v>
      </c>
      <c r="B114" s="14" t="s">
        <v>223</v>
      </c>
      <c r="C114" s="27">
        <v>901</v>
      </c>
      <c r="D114" s="15">
        <v>314</v>
      </c>
      <c r="E114" s="12" t="s">
        <v>226</v>
      </c>
      <c r="F114" s="12"/>
      <c r="G114" s="40"/>
      <c r="H114" s="40"/>
      <c r="I114" s="38">
        <f>SUM(I115+I117)</f>
        <v>109.5</v>
      </c>
      <c r="J114" s="38">
        <f>SUM(J115+J117)</f>
        <v>109.5</v>
      </c>
      <c r="K114" s="38">
        <f>SUM(K115+K117)</f>
        <v>65.5</v>
      </c>
      <c r="L114" s="38">
        <f>K114/J114*100</f>
        <v>59.817351598173516</v>
      </c>
      <c r="M114" s="102"/>
      <c r="N114" s="78"/>
      <c r="O114" s="78"/>
    </row>
    <row r="115" spans="1:15" ht="44.25" customHeight="1">
      <c r="A115" s="27">
        <v>107</v>
      </c>
      <c r="B115" s="14" t="s">
        <v>224</v>
      </c>
      <c r="C115" s="27">
        <v>901</v>
      </c>
      <c r="D115" s="15">
        <v>314</v>
      </c>
      <c r="E115" s="12" t="s">
        <v>227</v>
      </c>
      <c r="F115" s="12"/>
      <c r="G115" s="40"/>
      <c r="H115" s="40"/>
      <c r="I115" s="38">
        <f>SUM(I116)</f>
        <v>87.6</v>
      </c>
      <c r="J115" s="38">
        <f>SUM(J116)</f>
        <v>87.6</v>
      </c>
      <c r="K115" s="38">
        <f>SUM(K116)</f>
        <v>47.4</v>
      </c>
      <c r="L115" s="38">
        <f>SUM(L116)</f>
        <v>54.109589041095894</v>
      </c>
      <c r="M115" s="78"/>
      <c r="N115" s="78"/>
      <c r="O115" s="78"/>
    </row>
    <row r="116" spans="1:15" ht="29.25" customHeight="1">
      <c r="A116" s="27">
        <v>108</v>
      </c>
      <c r="B116" s="13" t="s">
        <v>196</v>
      </c>
      <c r="C116" s="29">
        <v>901</v>
      </c>
      <c r="D116" s="16">
        <v>314</v>
      </c>
      <c r="E116" s="17" t="s">
        <v>227</v>
      </c>
      <c r="F116" s="17" t="s">
        <v>67</v>
      </c>
      <c r="G116" s="37"/>
      <c r="H116" s="37"/>
      <c r="I116" s="39">
        <v>87.6</v>
      </c>
      <c r="J116" s="39">
        <v>87.6</v>
      </c>
      <c r="K116" s="39">
        <v>47.4</v>
      </c>
      <c r="L116" s="39">
        <f>K116/J116*100</f>
        <v>54.109589041095894</v>
      </c>
      <c r="M116" s="78"/>
      <c r="N116" s="78"/>
      <c r="O116" s="78"/>
    </row>
    <row r="117" spans="1:15" ht="34.5" customHeight="1">
      <c r="A117" s="27">
        <v>109</v>
      </c>
      <c r="B117" s="14" t="s">
        <v>225</v>
      </c>
      <c r="C117" s="27">
        <v>901</v>
      </c>
      <c r="D117" s="15">
        <v>314</v>
      </c>
      <c r="E117" s="12" t="s">
        <v>228</v>
      </c>
      <c r="F117" s="12"/>
      <c r="G117" s="40"/>
      <c r="H117" s="40"/>
      <c r="I117" s="38">
        <f>SUM(I118)</f>
        <v>21.9</v>
      </c>
      <c r="J117" s="38">
        <f>SUM(J118)</f>
        <v>21.9</v>
      </c>
      <c r="K117" s="38">
        <f>SUM(K118)</f>
        <v>18.100000000000001</v>
      </c>
      <c r="L117" s="38">
        <f>SUM(L118)</f>
        <v>82.648401826484033</v>
      </c>
      <c r="M117" s="78"/>
      <c r="N117" s="78"/>
      <c r="O117" s="78"/>
    </row>
    <row r="118" spans="1:15" ht="29.25" customHeight="1">
      <c r="A118" s="27">
        <v>110</v>
      </c>
      <c r="B118" s="13" t="s">
        <v>196</v>
      </c>
      <c r="C118" s="29">
        <v>901</v>
      </c>
      <c r="D118" s="16">
        <v>314</v>
      </c>
      <c r="E118" s="17" t="s">
        <v>228</v>
      </c>
      <c r="F118" s="17" t="s">
        <v>67</v>
      </c>
      <c r="G118" s="37"/>
      <c r="H118" s="37"/>
      <c r="I118" s="39">
        <v>21.9</v>
      </c>
      <c r="J118" s="39">
        <v>21.9</v>
      </c>
      <c r="K118" s="39">
        <v>18.100000000000001</v>
      </c>
      <c r="L118" s="39">
        <f>K118/J118*100</f>
        <v>82.648401826484033</v>
      </c>
      <c r="M118" s="78"/>
      <c r="N118" s="78"/>
      <c r="O118" s="78"/>
    </row>
    <row r="119" spans="1:15" ht="48.75" customHeight="1">
      <c r="A119" s="27">
        <v>111</v>
      </c>
      <c r="B119" s="52" t="s">
        <v>305</v>
      </c>
      <c r="C119" s="27">
        <v>901</v>
      </c>
      <c r="D119" s="15">
        <v>314</v>
      </c>
      <c r="E119" s="12" t="s">
        <v>309</v>
      </c>
      <c r="F119" s="12"/>
      <c r="G119" s="37"/>
      <c r="H119" s="37"/>
      <c r="I119" s="38">
        <f>SUM(I120+I122+I124)</f>
        <v>165</v>
      </c>
      <c r="J119" s="38">
        <f>SUM(J120+J122+J124)</f>
        <v>149.334</v>
      </c>
      <c r="K119" s="38">
        <f>SUM(K120+K122+K124)</f>
        <v>144.30000000000001</v>
      </c>
      <c r="L119" s="38">
        <v>96.7</v>
      </c>
      <c r="M119" s="78"/>
      <c r="N119" s="78"/>
      <c r="O119" s="78"/>
    </row>
    <row r="120" spans="1:15" ht="38.25" customHeight="1">
      <c r="A120" s="27">
        <v>112</v>
      </c>
      <c r="B120" s="53" t="s">
        <v>306</v>
      </c>
      <c r="C120" s="27">
        <v>901</v>
      </c>
      <c r="D120" s="15">
        <v>314</v>
      </c>
      <c r="E120" s="12" t="s">
        <v>310</v>
      </c>
      <c r="F120" s="12"/>
      <c r="G120" s="37"/>
      <c r="H120" s="37"/>
      <c r="I120" s="38">
        <f>SUM(I121)</f>
        <v>25</v>
      </c>
      <c r="J120" s="38">
        <f>SUM(J121)</f>
        <v>25</v>
      </c>
      <c r="K120" s="38">
        <f>SUM(K121)</f>
        <v>25</v>
      </c>
      <c r="L120" s="38">
        <f>SUM(L121)</f>
        <v>100</v>
      </c>
      <c r="M120" s="78"/>
      <c r="N120" s="78"/>
      <c r="O120" s="78"/>
    </row>
    <row r="121" spans="1:15" ht="29.25" customHeight="1">
      <c r="A121" s="27">
        <v>113</v>
      </c>
      <c r="B121" s="13" t="s">
        <v>196</v>
      </c>
      <c r="C121" s="29">
        <v>901</v>
      </c>
      <c r="D121" s="16">
        <v>314</v>
      </c>
      <c r="E121" s="17" t="s">
        <v>310</v>
      </c>
      <c r="F121" s="17" t="s">
        <v>67</v>
      </c>
      <c r="G121" s="37"/>
      <c r="H121" s="37"/>
      <c r="I121" s="39">
        <v>25</v>
      </c>
      <c r="J121" s="39">
        <v>25</v>
      </c>
      <c r="K121" s="39">
        <v>25</v>
      </c>
      <c r="L121" s="39">
        <f>K121/J121*100</f>
        <v>100</v>
      </c>
      <c r="M121" s="78"/>
      <c r="N121" s="78"/>
      <c r="O121" s="78"/>
    </row>
    <row r="122" spans="1:15" ht="81.75" customHeight="1">
      <c r="A122" s="27">
        <v>114</v>
      </c>
      <c r="B122" s="54" t="s">
        <v>307</v>
      </c>
      <c r="C122" s="27">
        <v>901</v>
      </c>
      <c r="D122" s="15">
        <v>314</v>
      </c>
      <c r="E122" s="12" t="s">
        <v>311</v>
      </c>
      <c r="F122" s="12"/>
      <c r="G122" s="37"/>
      <c r="H122" s="37"/>
      <c r="I122" s="38">
        <f>SUM(I123)</f>
        <v>135</v>
      </c>
      <c r="J122" s="38">
        <f>SUM(J123)</f>
        <v>119.334</v>
      </c>
      <c r="K122" s="38">
        <f>SUM(K123)</f>
        <v>114.3</v>
      </c>
      <c r="L122" s="38">
        <f>SUM(L123)</f>
        <v>95.78158781235858</v>
      </c>
      <c r="M122" s="78"/>
      <c r="N122" s="78"/>
      <c r="O122" s="78"/>
    </row>
    <row r="123" spans="1:15" ht="29.25" customHeight="1">
      <c r="A123" s="27">
        <v>115</v>
      </c>
      <c r="B123" s="13" t="s">
        <v>196</v>
      </c>
      <c r="C123" s="29">
        <v>901</v>
      </c>
      <c r="D123" s="16">
        <v>314</v>
      </c>
      <c r="E123" s="17" t="s">
        <v>311</v>
      </c>
      <c r="F123" s="17" t="s">
        <v>67</v>
      </c>
      <c r="G123" s="37"/>
      <c r="H123" s="37"/>
      <c r="I123" s="39">
        <f>135</f>
        <v>135</v>
      </c>
      <c r="J123" s="39">
        <f>135-15.666</f>
        <v>119.334</v>
      </c>
      <c r="K123" s="39">
        <v>114.3</v>
      </c>
      <c r="L123" s="39">
        <f>K123/J123*100</f>
        <v>95.78158781235858</v>
      </c>
      <c r="M123" s="78"/>
      <c r="N123" s="78"/>
      <c r="O123" s="78"/>
    </row>
    <row r="124" spans="1:15" ht="52.5" customHeight="1">
      <c r="A124" s="27">
        <v>116</v>
      </c>
      <c r="B124" s="54" t="s">
        <v>308</v>
      </c>
      <c r="C124" s="27">
        <v>901</v>
      </c>
      <c r="D124" s="15">
        <v>314</v>
      </c>
      <c r="E124" s="12" t="s">
        <v>312</v>
      </c>
      <c r="F124" s="12"/>
      <c r="G124" s="37"/>
      <c r="H124" s="37"/>
      <c r="I124" s="38">
        <f>SUM(I125)</f>
        <v>5</v>
      </c>
      <c r="J124" s="38">
        <f>SUM(J125)</f>
        <v>5</v>
      </c>
      <c r="K124" s="38">
        <f>SUM(K125)</f>
        <v>5</v>
      </c>
      <c r="L124" s="38">
        <f>K124/J124*100</f>
        <v>100</v>
      </c>
      <c r="M124" s="78"/>
      <c r="N124" s="78"/>
      <c r="O124" s="78"/>
    </row>
    <row r="125" spans="1:15" ht="29.25" customHeight="1">
      <c r="A125" s="27">
        <v>117</v>
      </c>
      <c r="B125" s="13" t="s">
        <v>196</v>
      </c>
      <c r="C125" s="29">
        <v>901</v>
      </c>
      <c r="D125" s="16">
        <v>314</v>
      </c>
      <c r="E125" s="17" t="s">
        <v>312</v>
      </c>
      <c r="F125" s="17" t="s">
        <v>67</v>
      </c>
      <c r="G125" s="37"/>
      <c r="H125" s="37"/>
      <c r="I125" s="39">
        <v>5</v>
      </c>
      <c r="J125" s="39">
        <v>5</v>
      </c>
      <c r="K125" s="39">
        <v>5</v>
      </c>
      <c r="L125" s="39">
        <f>K125/J125*100</f>
        <v>100</v>
      </c>
      <c r="M125" s="78"/>
      <c r="N125" s="78"/>
      <c r="O125" s="78"/>
    </row>
    <row r="126" spans="1:15">
      <c r="A126" s="27">
        <v>118</v>
      </c>
      <c r="B126" s="14" t="s">
        <v>11</v>
      </c>
      <c r="C126" s="27">
        <v>901</v>
      </c>
      <c r="D126" s="15">
        <v>400</v>
      </c>
      <c r="E126" s="12"/>
      <c r="F126" s="17"/>
      <c r="G126" s="37"/>
      <c r="H126" s="37"/>
      <c r="I126" s="38">
        <f>SUM(I127+I131+I135+I147+I154)</f>
        <v>25262.199999999997</v>
      </c>
      <c r="J126" s="38">
        <f>SUM(J127+J131+J135+J147+J154)</f>
        <v>29671.764000000003</v>
      </c>
      <c r="K126" s="38">
        <f>SUM(K127+K131+K135+K147+K154)</f>
        <v>23196.464</v>
      </c>
      <c r="L126" s="38">
        <f>K126/J126*100</f>
        <v>78.176895718097512</v>
      </c>
      <c r="M126" s="78"/>
      <c r="N126" s="78"/>
      <c r="O126" s="78"/>
    </row>
    <row r="127" spans="1:15" ht="21.75" customHeight="1">
      <c r="A127" s="27">
        <v>119</v>
      </c>
      <c r="B127" s="14" t="s">
        <v>116</v>
      </c>
      <c r="C127" s="27">
        <v>901</v>
      </c>
      <c r="D127" s="15">
        <v>405</v>
      </c>
      <c r="E127" s="12"/>
      <c r="F127" s="17"/>
      <c r="G127" s="37"/>
      <c r="H127" s="37"/>
      <c r="I127" s="38">
        <f t="shared" ref="I127:L129" si="11">SUM(I128)</f>
        <v>134.30000000000001</v>
      </c>
      <c r="J127" s="38">
        <f t="shared" si="11"/>
        <v>134.30000000000001</v>
      </c>
      <c r="K127" s="38">
        <f t="shared" si="11"/>
        <v>118.7</v>
      </c>
      <c r="L127" s="38">
        <f t="shared" si="11"/>
        <v>88.384214445271766</v>
      </c>
      <c r="M127" s="78"/>
      <c r="N127" s="78"/>
      <c r="O127" s="78"/>
    </row>
    <row r="128" spans="1:15" ht="38.25">
      <c r="A128" s="27">
        <v>120</v>
      </c>
      <c r="B128" s="14" t="s">
        <v>295</v>
      </c>
      <c r="C128" s="27">
        <v>901</v>
      </c>
      <c r="D128" s="15">
        <v>405</v>
      </c>
      <c r="E128" s="12" t="s">
        <v>296</v>
      </c>
      <c r="F128" s="17"/>
      <c r="G128" s="37"/>
      <c r="H128" s="37"/>
      <c r="I128" s="38">
        <f t="shared" si="11"/>
        <v>134.30000000000001</v>
      </c>
      <c r="J128" s="38">
        <f t="shared" si="11"/>
        <v>134.30000000000001</v>
      </c>
      <c r="K128" s="38">
        <f t="shared" si="11"/>
        <v>118.7</v>
      </c>
      <c r="L128" s="38">
        <f t="shared" si="11"/>
        <v>88.384214445271766</v>
      </c>
      <c r="M128" s="78"/>
      <c r="N128" s="78"/>
      <c r="O128" s="78"/>
    </row>
    <row r="129" spans="1:15" ht="34.5" customHeight="1">
      <c r="A129" s="27">
        <v>121</v>
      </c>
      <c r="B129" s="52" t="s">
        <v>238</v>
      </c>
      <c r="C129" s="27">
        <v>901</v>
      </c>
      <c r="D129" s="15">
        <v>405</v>
      </c>
      <c r="E129" s="12" t="s">
        <v>149</v>
      </c>
      <c r="F129" s="12"/>
      <c r="G129" s="37"/>
      <c r="H129" s="37"/>
      <c r="I129" s="38">
        <f t="shared" si="11"/>
        <v>134.30000000000001</v>
      </c>
      <c r="J129" s="38">
        <f t="shared" si="11"/>
        <v>134.30000000000001</v>
      </c>
      <c r="K129" s="38">
        <f t="shared" si="11"/>
        <v>118.7</v>
      </c>
      <c r="L129" s="38">
        <f t="shared" si="11"/>
        <v>88.384214445271766</v>
      </c>
      <c r="M129" s="78"/>
      <c r="N129" s="78"/>
      <c r="O129" s="78"/>
    </row>
    <row r="130" spans="1:15" ht="30" customHeight="1">
      <c r="A130" s="27">
        <v>122</v>
      </c>
      <c r="B130" s="13" t="s">
        <v>196</v>
      </c>
      <c r="C130" s="29">
        <v>901</v>
      </c>
      <c r="D130" s="16">
        <v>405</v>
      </c>
      <c r="E130" s="17" t="s">
        <v>149</v>
      </c>
      <c r="F130" s="17" t="s">
        <v>67</v>
      </c>
      <c r="G130" s="37"/>
      <c r="H130" s="37"/>
      <c r="I130" s="39">
        <v>134.30000000000001</v>
      </c>
      <c r="J130" s="39">
        <v>134.30000000000001</v>
      </c>
      <c r="K130" s="39">
        <v>118.7</v>
      </c>
      <c r="L130" s="39">
        <f>K130/J130*100</f>
        <v>88.384214445271766</v>
      </c>
      <c r="M130" s="78"/>
      <c r="N130" s="78"/>
      <c r="O130" s="78"/>
    </row>
    <row r="131" spans="1:15">
      <c r="A131" s="27">
        <v>123</v>
      </c>
      <c r="B131" s="14" t="s">
        <v>12</v>
      </c>
      <c r="C131" s="27">
        <v>901</v>
      </c>
      <c r="D131" s="15">
        <v>408</v>
      </c>
      <c r="E131" s="12"/>
      <c r="F131" s="17"/>
      <c r="G131" s="37"/>
      <c r="H131" s="37"/>
      <c r="I131" s="38">
        <f t="shared" ref="I131:L132" si="12">SUM(I132)</f>
        <v>6405</v>
      </c>
      <c r="J131" s="38">
        <f t="shared" si="12"/>
        <v>6405</v>
      </c>
      <c r="K131" s="38">
        <f t="shared" si="12"/>
        <v>6405</v>
      </c>
      <c r="L131" s="38">
        <f t="shared" si="12"/>
        <v>100</v>
      </c>
      <c r="M131" s="78"/>
      <c r="N131" s="78"/>
      <c r="O131" s="78"/>
    </row>
    <row r="132" spans="1:15" ht="42.75" customHeight="1">
      <c r="A132" s="27">
        <v>124</v>
      </c>
      <c r="B132" s="14" t="s">
        <v>428</v>
      </c>
      <c r="C132" s="27">
        <v>901</v>
      </c>
      <c r="D132" s="15">
        <v>408</v>
      </c>
      <c r="E132" s="12" t="s">
        <v>150</v>
      </c>
      <c r="F132" s="17"/>
      <c r="G132" s="37"/>
      <c r="H132" s="37"/>
      <c r="I132" s="38">
        <f t="shared" si="12"/>
        <v>6405</v>
      </c>
      <c r="J132" s="38">
        <f t="shared" si="12"/>
        <v>6405</v>
      </c>
      <c r="K132" s="38">
        <f t="shared" si="12"/>
        <v>6405</v>
      </c>
      <c r="L132" s="38">
        <f t="shared" si="12"/>
        <v>100</v>
      </c>
      <c r="M132" s="78"/>
      <c r="N132" s="78"/>
      <c r="O132" s="78"/>
    </row>
    <row r="133" spans="1:15" ht="40.5" customHeight="1">
      <c r="A133" s="27">
        <v>125</v>
      </c>
      <c r="B133" s="14" t="s">
        <v>78</v>
      </c>
      <c r="C133" s="27">
        <v>901</v>
      </c>
      <c r="D133" s="15">
        <v>408</v>
      </c>
      <c r="E133" s="12" t="s">
        <v>151</v>
      </c>
      <c r="F133" s="17"/>
      <c r="G133" s="37"/>
      <c r="H133" s="37"/>
      <c r="I133" s="38">
        <f>I134</f>
        <v>6405</v>
      </c>
      <c r="J133" s="38">
        <f>J134</f>
        <v>6405</v>
      </c>
      <c r="K133" s="38">
        <f>K134</f>
        <v>6405</v>
      </c>
      <c r="L133" s="38">
        <f>L134</f>
        <v>100</v>
      </c>
      <c r="M133" s="78"/>
      <c r="N133" s="78"/>
      <c r="O133" s="78"/>
    </row>
    <row r="134" spans="1:15" ht="39" customHeight="1">
      <c r="A134" s="27">
        <v>126</v>
      </c>
      <c r="B134" s="13" t="s">
        <v>198</v>
      </c>
      <c r="C134" s="29">
        <v>901</v>
      </c>
      <c r="D134" s="16">
        <v>408</v>
      </c>
      <c r="E134" s="17" t="s">
        <v>151</v>
      </c>
      <c r="F134" s="17" t="s">
        <v>47</v>
      </c>
      <c r="G134" s="37"/>
      <c r="H134" s="37"/>
      <c r="I134" s="39">
        <v>6405</v>
      </c>
      <c r="J134" s="39">
        <v>6405</v>
      </c>
      <c r="K134" s="39">
        <v>6405</v>
      </c>
      <c r="L134" s="39">
        <f>K134/J134*100</f>
        <v>100</v>
      </c>
      <c r="M134" s="78"/>
      <c r="N134" s="78"/>
      <c r="O134" s="78"/>
    </row>
    <row r="135" spans="1:15" ht="19.5" customHeight="1">
      <c r="A135" s="27">
        <v>127</v>
      </c>
      <c r="B135" s="14" t="s">
        <v>48</v>
      </c>
      <c r="C135" s="27">
        <v>901</v>
      </c>
      <c r="D135" s="15">
        <v>409</v>
      </c>
      <c r="E135" s="12"/>
      <c r="F135" s="17"/>
      <c r="G135" s="37"/>
      <c r="H135" s="37"/>
      <c r="I135" s="38">
        <f>SUM(I136)</f>
        <v>14559.3</v>
      </c>
      <c r="J135" s="38">
        <f>SUM(J136)</f>
        <v>15648.199999999999</v>
      </c>
      <c r="K135" s="38">
        <f>SUM(K136)</f>
        <v>14398.599999999999</v>
      </c>
      <c r="L135" s="38">
        <f>SUM(L136)</f>
        <v>92.014416993647828</v>
      </c>
      <c r="M135" s="78"/>
      <c r="N135" s="78"/>
      <c r="O135" s="78"/>
    </row>
    <row r="136" spans="1:15" ht="40.5" customHeight="1">
      <c r="A136" s="27">
        <v>128</v>
      </c>
      <c r="B136" s="14" t="s">
        <v>428</v>
      </c>
      <c r="C136" s="27">
        <v>901</v>
      </c>
      <c r="D136" s="15">
        <v>409</v>
      </c>
      <c r="E136" s="12" t="s">
        <v>150</v>
      </c>
      <c r="F136" s="17"/>
      <c r="G136" s="37"/>
      <c r="H136" s="37"/>
      <c r="I136" s="38">
        <f>SUM(I137+I139+I141+I143+I145)</f>
        <v>14559.3</v>
      </c>
      <c r="J136" s="38">
        <f>SUM(J137+J139+J141+J143+J145)</f>
        <v>15648.199999999999</v>
      </c>
      <c r="K136" s="38">
        <f>SUM(K137+K139+K141+K143+K145)</f>
        <v>14398.599999999999</v>
      </c>
      <c r="L136" s="38">
        <f>K136/J136*100</f>
        <v>92.014416993647828</v>
      </c>
      <c r="M136" s="78"/>
      <c r="N136" s="78"/>
      <c r="O136" s="78"/>
    </row>
    <row r="137" spans="1:15" ht="30.75" customHeight="1">
      <c r="A137" s="27">
        <v>129</v>
      </c>
      <c r="B137" s="14" t="s">
        <v>79</v>
      </c>
      <c r="C137" s="27">
        <v>901</v>
      </c>
      <c r="D137" s="15">
        <v>409</v>
      </c>
      <c r="E137" s="12" t="s">
        <v>152</v>
      </c>
      <c r="F137" s="17"/>
      <c r="G137" s="37"/>
      <c r="H137" s="37"/>
      <c r="I137" s="38">
        <f>I138</f>
        <v>8302</v>
      </c>
      <c r="J137" s="38">
        <f>J138</f>
        <v>10688.358999999999</v>
      </c>
      <c r="K137" s="38">
        <f>K138</f>
        <v>10687.4</v>
      </c>
      <c r="L137" s="38">
        <f>L138</f>
        <v>99.991027621733153</v>
      </c>
      <c r="M137" s="78"/>
      <c r="N137" s="78"/>
      <c r="O137" s="78"/>
    </row>
    <row r="138" spans="1:15" ht="28.5" customHeight="1">
      <c r="A138" s="27">
        <v>130</v>
      </c>
      <c r="B138" s="13" t="s">
        <v>196</v>
      </c>
      <c r="C138" s="29">
        <v>901</v>
      </c>
      <c r="D138" s="16">
        <v>409</v>
      </c>
      <c r="E138" s="17" t="s">
        <v>152</v>
      </c>
      <c r="F138" s="17" t="s">
        <v>67</v>
      </c>
      <c r="G138" s="37"/>
      <c r="H138" s="37"/>
      <c r="I138" s="39">
        <f>8302</f>
        <v>8302</v>
      </c>
      <c r="J138" s="39">
        <f>8302+978.9+453.558+375.856+282.6+295.445</f>
        <v>10688.358999999999</v>
      </c>
      <c r="K138" s="39">
        <v>10687.4</v>
      </c>
      <c r="L138" s="39">
        <f>K138/J138*100</f>
        <v>99.991027621733153</v>
      </c>
      <c r="M138" s="78"/>
      <c r="N138" s="78"/>
      <c r="O138" s="78"/>
    </row>
    <row r="139" spans="1:15" ht="28.5" customHeight="1">
      <c r="A139" s="27">
        <v>131</v>
      </c>
      <c r="B139" s="14" t="s">
        <v>313</v>
      </c>
      <c r="C139" s="27">
        <v>901</v>
      </c>
      <c r="D139" s="15">
        <v>409</v>
      </c>
      <c r="E139" s="12" t="s">
        <v>314</v>
      </c>
      <c r="F139" s="12"/>
      <c r="G139" s="40"/>
      <c r="H139" s="40"/>
      <c r="I139" s="38">
        <f>SUM(I140)</f>
        <v>300</v>
      </c>
      <c r="J139" s="38">
        <f>SUM(J140)</f>
        <v>1373.5540000000001</v>
      </c>
      <c r="K139" s="38">
        <f>SUM(K140)</f>
        <v>397.8</v>
      </c>
      <c r="L139" s="38">
        <f>SUM(L140)</f>
        <v>28.961365916447406</v>
      </c>
      <c r="M139" s="78"/>
      <c r="N139" s="78"/>
      <c r="O139" s="78"/>
    </row>
    <row r="140" spans="1:15" ht="28.5" customHeight="1">
      <c r="A140" s="27">
        <v>132</v>
      </c>
      <c r="B140" s="13" t="s">
        <v>196</v>
      </c>
      <c r="C140" s="29">
        <v>901</v>
      </c>
      <c r="D140" s="16">
        <v>409</v>
      </c>
      <c r="E140" s="17" t="s">
        <v>314</v>
      </c>
      <c r="F140" s="17" t="s">
        <v>67</v>
      </c>
      <c r="G140" s="37"/>
      <c r="H140" s="37"/>
      <c r="I140" s="39">
        <f>300</f>
        <v>300</v>
      </c>
      <c r="J140" s="39">
        <f>300+895.018-175.856+649.837-295.445</f>
        <v>1373.5540000000001</v>
      </c>
      <c r="K140" s="39">
        <v>397.8</v>
      </c>
      <c r="L140" s="39">
        <f>K140/J140*100</f>
        <v>28.961365916447406</v>
      </c>
      <c r="M140" s="78"/>
      <c r="N140" s="78"/>
      <c r="O140" s="78"/>
    </row>
    <row r="141" spans="1:15" ht="38.25">
      <c r="A141" s="27">
        <v>133</v>
      </c>
      <c r="B141" s="42" t="s">
        <v>108</v>
      </c>
      <c r="C141" s="27">
        <v>901</v>
      </c>
      <c r="D141" s="15">
        <v>409</v>
      </c>
      <c r="E141" s="11" t="s">
        <v>153</v>
      </c>
      <c r="F141" s="17"/>
      <c r="G141" s="37"/>
      <c r="H141" s="37"/>
      <c r="I141" s="38">
        <f>I142</f>
        <v>600</v>
      </c>
      <c r="J141" s="38">
        <f>J142</f>
        <v>710</v>
      </c>
      <c r="K141" s="38">
        <f>K142</f>
        <v>451.9</v>
      </c>
      <c r="L141" s="38">
        <f>L142</f>
        <v>63.647887323943664</v>
      </c>
      <c r="M141" s="78"/>
      <c r="N141" s="78"/>
      <c r="O141" s="78"/>
    </row>
    <row r="142" spans="1:15" ht="28.5" customHeight="1">
      <c r="A142" s="27">
        <v>134</v>
      </c>
      <c r="B142" s="13" t="s">
        <v>196</v>
      </c>
      <c r="C142" s="29">
        <v>901</v>
      </c>
      <c r="D142" s="16">
        <v>409</v>
      </c>
      <c r="E142" s="17" t="s">
        <v>153</v>
      </c>
      <c r="F142" s="17" t="s">
        <v>67</v>
      </c>
      <c r="G142" s="37"/>
      <c r="H142" s="37"/>
      <c r="I142" s="39">
        <f>600</f>
        <v>600</v>
      </c>
      <c r="J142" s="39">
        <f>600+110</f>
        <v>710</v>
      </c>
      <c r="K142" s="39">
        <v>451.9</v>
      </c>
      <c r="L142" s="39">
        <f>K142/J142*100</f>
        <v>63.647887323943664</v>
      </c>
      <c r="M142" s="78"/>
      <c r="N142" s="78"/>
      <c r="O142" s="78"/>
    </row>
    <row r="143" spans="1:15" ht="70.5" customHeight="1">
      <c r="A143" s="27">
        <v>135</v>
      </c>
      <c r="B143" s="54" t="s">
        <v>315</v>
      </c>
      <c r="C143" s="27">
        <v>901</v>
      </c>
      <c r="D143" s="15">
        <v>409</v>
      </c>
      <c r="E143" s="12" t="s">
        <v>277</v>
      </c>
      <c r="F143" s="12"/>
      <c r="G143" s="40"/>
      <c r="H143" s="40"/>
      <c r="I143" s="38">
        <f>SUM(I144)</f>
        <v>5237.3</v>
      </c>
      <c r="J143" s="38">
        <f>SUM(J144)</f>
        <v>2876.2870000000003</v>
      </c>
      <c r="K143" s="38">
        <f>SUM(K144)</f>
        <v>2861.5</v>
      </c>
      <c r="L143" s="38">
        <f>SUM(L144)</f>
        <v>99.485899703332791</v>
      </c>
      <c r="M143" s="78"/>
      <c r="N143" s="78"/>
      <c r="O143" s="78"/>
    </row>
    <row r="144" spans="1:15" ht="28.5" customHeight="1">
      <c r="A144" s="27">
        <v>136</v>
      </c>
      <c r="B144" s="13" t="s">
        <v>196</v>
      </c>
      <c r="C144" s="29">
        <v>901</v>
      </c>
      <c r="D144" s="16">
        <v>409</v>
      </c>
      <c r="E144" s="17" t="s">
        <v>277</v>
      </c>
      <c r="F144" s="17" t="s">
        <v>67</v>
      </c>
      <c r="G144" s="37"/>
      <c r="H144" s="37"/>
      <c r="I144" s="39">
        <f>6000-762.7</f>
        <v>5237.3</v>
      </c>
      <c r="J144" s="39">
        <f>6000-762.7-333.558-1095.018-282.6-649.837</f>
        <v>2876.2870000000003</v>
      </c>
      <c r="K144" s="39">
        <v>2861.5</v>
      </c>
      <c r="L144" s="39">
        <f>K144/J144*100</f>
        <v>99.485899703332791</v>
      </c>
      <c r="M144" s="78"/>
      <c r="N144" s="78"/>
      <c r="O144" s="78"/>
    </row>
    <row r="145" spans="1:15" ht="28.5" customHeight="1">
      <c r="A145" s="27">
        <v>137</v>
      </c>
      <c r="B145" s="54" t="s">
        <v>316</v>
      </c>
      <c r="C145" s="27">
        <v>901</v>
      </c>
      <c r="D145" s="15">
        <v>409</v>
      </c>
      <c r="E145" s="12" t="s">
        <v>282</v>
      </c>
      <c r="F145" s="12"/>
      <c r="G145" s="40"/>
      <c r="H145" s="40"/>
      <c r="I145" s="38">
        <f>SUM(I146)</f>
        <v>120</v>
      </c>
      <c r="J145" s="38">
        <f>SUM(J146)</f>
        <v>0</v>
      </c>
      <c r="K145" s="38">
        <f>SUM(K146)</f>
        <v>0</v>
      </c>
      <c r="L145" s="38">
        <f>SUM(L146)</f>
        <v>0</v>
      </c>
      <c r="M145" s="78"/>
      <c r="N145" s="78"/>
      <c r="O145" s="78"/>
    </row>
    <row r="146" spans="1:15" ht="28.5" customHeight="1">
      <c r="A146" s="27">
        <v>138</v>
      </c>
      <c r="B146" s="13" t="s">
        <v>196</v>
      </c>
      <c r="C146" s="29">
        <v>901</v>
      </c>
      <c r="D146" s="16">
        <v>409</v>
      </c>
      <c r="E146" s="17" t="s">
        <v>282</v>
      </c>
      <c r="F146" s="17" t="s">
        <v>67</v>
      </c>
      <c r="G146" s="37"/>
      <c r="H146" s="37"/>
      <c r="I146" s="39">
        <f>120</f>
        <v>120</v>
      </c>
      <c r="J146" s="39">
        <f>120-120</f>
        <v>0</v>
      </c>
      <c r="K146" s="39">
        <f>120-120</f>
        <v>0</v>
      </c>
      <c r="L146" s="39">
        <f>120-120</f>
        <v>0</v>
      </c>
      <c r="M146" s="78"/>
      <c r="N146" s="78"/>
      <c r="O146" s="78"/>
    </row>
    <row r="147" spans="1:15">
      <c r="A147" s="27">
        <v>139</v>
      </c>
      <c r="B147" s="14" t="s">
        <v>33</v>
      </c>
      <c r="C147" s="27">
        <v>901</v>
      </c>
      <c r="D147" s="15">
        <v>410</v>
      </c>
      <c r="E147" s="12"/>
      <c r="F147" s="17"/>
      <c r="G147" s="37"/>
      <c r="H147" s="37"/>
      <c r="I147" s="38">
        <f t="shared" ref="I147:L148" si="13">SUM(I148)</f>
        <v>52.199999999999996</v>
      </c>
      <c r="J147" s="38">
        <f t="shared" si="13"/>
        <v>27.9</v>
      </c>
      <c r="K147" s="38">
        <f t="shared" si="13"/>
        <v>27.9</v>
      </c>
      <c r="L147" s="38">
        <f t="shared" si="13"/>
        <v>100</v>
      </c>
      <c r="M147" s="78"/>
      <c r="N147" s="78"/>
      <c r="O147" s="78"/>
    </row>
    <row r="148" spans="1:15" ht="40.5" customHeight="1">
      <c r="A148" s="27">
        <v>140</v>
      </c>
      <c r="B148" s="14" t="s">
        <v>289</v>
      </c>
      <c r="C148" s="27">
        <v>901</v>
      </c>
      <c r="D148" s="55">
        <v>410</v>
      </c>
      <c r="E148" s="11" t="s">
        <v>154</v>
      </c>
      <c r="F148" s="56"/>
      <c r="G148" s="37"/>
      <c r="H148" s="37"/>
      <c r="I148" s="38">
        <f t="shared" si="13"/>
        <v>52.199999999999996</v>
      </c>
      <c r="J148" s="38">
        <f t="shared" si="13"/>
        <v>27.9</v>
      </c>
      <c r="K148" s="38">
        <f t="shared" si="13"/>
        <v>27.9</v>
      </c>
      <c r="L148" s="38">
        <f t="shared" si="13"/>
        <v>100</v>
      </c>
      <c r="M148" s="78"/>
      <c r="N148" s="78"/>
      <c r="O148" s="78"/>
    </row>
    <row r="149" spans="1:15" ht="61.5" customHeight="1">
      <c r="A149" s="27">
        <v>141</v>
      </c>
      <c r="B149" s="14" t="s">
        <v>317</v>
      </c>
      <c r="C149" s="27">
        <v>901</v>
      </c>
      <c r="D149" s="55">
        <v>410</v>
      </c>
      <c r="E149" s="11" t="s">
        <v>240</v>
      </c>
      <c r="F149" s="56"/>
      <c r="G149" s="37"/>
      <c r="H149" s="37"/>
      <c r="I149" s="38">
        <f>SUM(I150+I152)</f>
        <v>52.199999999999996</v>
      </c>
      <c r="J149" s="38">
        <f>SUM(J150+J152)</f>
        <v>27.9</v>
      </c>
      <c r="K149" s="38">
        <f>SUM(K150+K152)</f>
        <v>27.9</v>
      </c>
      <c r="L149" s="38">
        <f>K149/J149*100</f>
        <v>100</v>
      </c>
      <c r="M149" s="78"/>
      <c r="N149" s="78"/>
      <c r="O149" s="78"/>
    </row>
    <row r="150" spans="1:15" ht="57.75" customHeight="1">
      <c r="A150" s="27">
        <v>142</v>
      </c>
      <c r="B150" s="52" t="s">
        <v>318</v>
      </c>
      <c r="C150" s="27">
        <v>901</v>
      </c>
      <c r="D150" s="55">
        <v>410</v>
      </c>
      <c r="E150" s="11" t="s">
        <v>155</v>
      </c>
      <c r="F150" s="56"/>
      <c r="G150" s="37"/>
      <c r="H150" s="37"/>
      <c r="I150" s="38">
        <f>I151</f>
        <v>38.799999999999997</v>
      </c>
      <c r="J150" s="38">
        <f>J151</f>
        <v>14.499999999999996</v>
      </c>
      <c r="K150" s="38">
        <f>K151</f>
        <v>14.499999999999996</v>
      </c>
      <c r="L150" s="38">
        <f>L151</f>
        <v>100</v>
      </c>
      <c r="M150" s="78"/>
      <c r="N150" s="78"/>
      <c r="O150" s="78"/>
    </row>
    <row r="151" spans="1:15" ht="29.25" customHeight="1">
      <c r="A151" s="27">
        <v>143</v>
      </c>
      <c r="B151" s="13" t="s">
        <v>196</v>
      </c>
      <c r="C151" s="29">
        <v>901</v>
      </c>
      <c r="D151" s="57">
        <v>410</v>
      </c>
      <c r="E151" s="56" t="s">
        <v>155</v>
      </c>
      <c r="F151" s="17" t="s">
        <v>67</v>
      </c>
      <c r="G151" s="37"/>
      <c r="H151" s="37"/>
      <c r="I151" s="39">
        <f>38.8</f>
        <v>38.799999999999997</v>
      </c>
      <c r="J151" s="39">
        <f>38.8-24.3</f>
        <v>14.499999999999996</v>
      </c>
      <c r="K151" s="39">
        <f>38.8-24.3</f>
        <v>14.499999999999996</v>
      </c>
      <c r="L151" s="39">
        <f>K151/J151*100</f>
        <v>100</v>
      </c>
      <c r="M151" s="78"/>
      <c r="N151" s="78"/>
      <c r="O151" s="78"/>
    </row>
    <row r="152" spans="1:15" ht="44.25" customHeight="1">
      <c r="A152" s="27">
        <v>144</v>
      </c>
      <c r="B152" s="52" t="s">
        <v>319</v>
      </c>
      <c r="C152" s="27">
        <v>901</v>
      </c>
      <c r="D152" s="55">
        <v>410</v>
      </c>
      <c r="E152" s="11" t="s">
        <v>239</v>
      </c>
      <c r="F152" s="12"/>
      <c r="G152" s="40"/>
      <c r="H152" s="40"/>
      <c r="I152" s="38">
        <f>SUM(I153)</f>
        <v>13.4</v>
      </c>
      <c r="J152" s="38">
        <f>SUM(J153)</f>
        <v>13.4</v>
      </c>
      <c r="K152" s="38">
        <f>SUM(K153)</f>
        <v>13.4</v>
      </c>
      <c r="L152" s="38">
        <f>SUM(L153)</f>
        <v>100</v>
      </c>
      <c r="M152" s="78"/>
      <c r="N152" s="78"/>
      <c r="O152" s="78"/>
    </row>
    <row r="153" spans="1:15" ht="29.25" customHeight="1">
      <c r="A153" s="27">
        <v>145</v>
      </c>
      <c r="B153" s="13" t="s">
        <v>196</v>
      </c>
      <c r="C153" s="29">
        <v>901</v>
      </c>
      <c r="D153" s="57">
        <v>410</v>
      </c>
      <c r="E153" s="56" t="s">
        <v>239</v>
      </c>
      <c r="F153" s="17" t="s">
        <v>67</v>
      </c>
      <c r="G153" s="37"/>
      <c r="H153" s="37"/>
      <c r="I153" s="39">
        <v>13.4</v>
      </c>
      <c r="J153" s="39">
        <v>13.4</v>
      </c>
      <c r="K153" s="39">
        <v>13.4</v>
      </c>
      <c r="L153" s="39">
        <f>K153/J153*100</f>
        <v>100</v>
      </c>
      <c r="M153" s="78"/>
      <c r="N153" s="78"/>
      <c r="O153" s="78"/>
    </row>
    <row r="154" spans="1:15" ht="30" customHeight="1">
      <c r="A154" s="27">
        <v>146</v>
      </c>
      <c r="B154" s="14" t="s">
        <v>110</v>
      </c>
      <c r="C154" s="27">
        <v>901</v>
      </c>
      <c r="D154" s="15">
        <v>412</v>
      </c>
      <c r="E154" s="12"/>
      <c r="F154" s="17"/>
      <c r="G154" s="37"/>
      <c r="H154" s="37"/>
      <c r="I154" s="38">
        <f>SUM(I155+I168+I175+I185+I188+I193)</f>
        <v>4111.3999999999996</v>
      </c>
      <c r="J154" s="38">
        <f>SUM(J155+J168+J175+J185+J188+J193)</f>
        <v>7456.3639999999996</v>
      </c>
      <c r="K154" s="38">
        <f>SUM(K155+K168+K175+K185+K188+K193)</f>
        <v>2246.2640000000001</v>
      </c>
      <c r="L154" s="38">
        <f>K154/J154*100</f>
        <v>30.125460613242598</v>
      </c>
      <c r="M154" s="78"/>
      <c r="N154" s="78"/>
      <c r="O154" s="78"/>
    </row>
    <row r="155" spans="1:15" ht="42.75" customHeight="1">
      <c r="A155" s="27">
        <v>147</v>
      </c>
      <c r="B155" s="42" t="s">
        <v>429</v>
      </c>
      <c r="C155" s="27">
        <v>901</v>
      </c>
      <c r="D155" s="15">
        <v>412</v>
      </c>
      <c r="E155" s="12" t="s">
        <v>127</v>
      </c>
      <c r="F155" s="17"/>
      <c r="G155" s="37"/>
      <c r="H155" s="37"/>
      <c r="I155" s="38">
        <f>SUM(I156+I158+I160+I162+I164+I166)</f>
        <v>1395</v>
      </c>
      <c r="J155" s="38">
        <f>SUM(J156+J158+J160+J162+J164+J166)</f>
        <v>904.96400000000006</v>
      </c>
      <c r="K155" s="38">
        <f>SUM(K156+K158+K160+K162+K164+K166)</f>
        <v>503.56400000000008</v>
      </c>
      <c r="L155" s="38">
        <f>K155/J155*100</f>
        <v>55.644644427844646</v>
      </c>
      <c r="M155" s="78"/>
      <c r="N155" s="78"/>
      <c r="O155" s="78"/>
    </row>
    <row r="156" spans="1:15" ht="30" customHeight="1">
      <c r="A156" s="27">
        <v>148</v>
      </c>
      <c r="B156" s="42" t="s">
        <v>68</v>
      </c>
      <c r="C156" s="27">
        <v>901</v>
      </c>
      <c r="D156" s="15">
        <v>412</v>
      </c>
      <c r="E156" s="12" t="s">
        <v>128</v>
      </c>
      <c r="F156" s="17"/>
      <c r="G156" s="37"/>
      <c r="H156" s="37"/>
      <c r="I156" s="38">
        <f>I157</f>
        <v>100</v>
      </c>
      <c r="J156" s="38">
        <f>J157</f>
        <v>100</v>
      </c>
      <c r="K156" s="38">
        <f>K157</f>
        <v>30.1</v>
      </c>
      <c r="L156" s="38">
        <f>L157</f>
        <v>30.099999999999998</v>
      </c>
      <c r="M156" s="78"/>
      <c r="N156" s="78"/>
      <c r="O156" s="78"/>
    </row>
    <row r="157" spans="1:15" ht="30" customHeight="1">
      <c r="A157" s="27">
        <v>149</v>
      </c>
      <c r="B157" s="13" t="s">
        <v>196</v>
      </c>
      <c r="C157" s="29">
        <v>901</v>
      </c>
      <c r="D157" s="16">
        <v>412</v>
      </c>
      <c r="E157" s="17" t="s">
        <v>128</v>
      </c>
      <c r="F157" s="17" t="s">
        <v>67</v>
      </c>
      <c r="G157" s="37"/>
      <c r="H157" s="37"/>
      <c r="I157" s="39">
        <v>100</v>
      </c>
      <c r="J157" s="39">
        <v>100</v>
      </c>
      <c r="K157" s="39">
        <v>30.1</v>
      </c>
      <c r="L157" s="39">
        <f>K157/J157*100</f>
        <v>30.099999999999998</v>
      </c>
      <c r="M157" s="78"/>
      <c r="N157" s="78"/>
      <c r="O157" s="78"/>
    </row>
    <row r="158" spans="1:15" ht="44.25" customHeight="1">
      <c r="A158" s="27">
        <v>150</v>
      </c>
      <c r="B158" s="42" t="s">
        <v>320</v>
      </c>
      <c r="C158" s="27">
        <v>901</v>
      </c>
      <c r="D158" s="15">
        <v>412</v>
      </c>
      <c r="E158" s="12" t="s">
        <v>129</v>
      </c>
      <c r="F158" s="17"/>
      <c r="G158" s="37"/>
      <c r="H158" s="37"/>
      <c r="I158" s="38">
        <f>I159</f>
        <v>100</v>
      </c>
      <c r="J158" s="38">
        <f>J159</f>
        <v>100</v>
      </c>
      <c r="K158" s="38">
        <f>K159</f>
        <v>22</v>
      </c>
      <c r="L158" s="38">
        <f>L159</f>
        <v>22</v>
      </c>
      <c r="M158" s="78"/>
      <c r="N158" s="78"/>
      <c r="O158" s="78"/>
    </row>
    <row r="159" spans="1:15" ht="30" customHeight="1">
      <c r="A159" s="27">
        <v>151</v>
      </c>
      <c r="B159" s="13" t="s">
        <v>196</v>
      </c>
      <c r="C159" s="29">
        <v>901</v>
      </c>
      <c r="D159" s="16">
        <v>412</v>
      </c>
      <c r="E159" s="17" t="s">
        <v>129</v>
      </c>
      <c r="F159" s="17" t="s">
        <v>67</v>
      </c>
      <c r="G159" s="37"/>
      <c r="H159" s="37"/>
      <c r="I159" s="39">
        <v>100</v>
      </c>
      <c r="J159" s="39">
        <v>100</v>
      </c>
      <c r="K159" s="39">
        <v>22</v>
      </c>
      <c r="L159" s="39">
        <f>K159/J159*100</f>
        <v>22</v>
      </c>
      <c r="M159" s="78"/>
      <c r="N159" s="78"/>
      <c r="O159" s="78"/>
    </row>
    <row r="160" spans="1:15" ht="36" customHeight="1">
      <c r="A160" s="27">
        <v>152</v>
      </c>
      <c r="B160" s="52" t="s">
        <v>321</v>
      </c>
      <c r="C160" s="27">
        <v>901</v>
      </c>
      <c r="D160" s="15">
        <v>412</v>
      </c>
      <c r="E160" s="12" t="s">
        <v>130</v>
      </c>
      <c r="F160" s="17"/>
      <c r="G160" s="37"/>
      <c r="H160" s="37"/>
      <c r="I160" s="38">
        <f>I161</f>
        <v>1000</v>
      </c>
      <c r="J160" s="38">
        <f>J161</f>
        <v>209.96400000000008</v>
      </c>
      <c r="K160" s="38">
        <f>K161</f>
        <v>209.96400000000008</v>
      </c>
      <c r="L160" s="38">
        <f>L161</f>
        <v>100</v>
      </c>
      <c r="M160" s="78"/>
      <c r="N160" s="78"/>
      <c r="O160" s="78"/>
    </row>
    <row r="161" spans="1:15" ht="30" customHeight="1">
      <c r="A161" s="27">
        <v>153</v>
      </c>
      <c r="B161" s="13" t="s">
        <v>196</v>
      </c>
      <c r="C161" s="29">
        <v>901</v>
      </c>
      <c r="D161" s="16">
        <v>412</v>
      </c>
      <c r="E161" s="17" t="s">
        <v>130</v>
      </c>
      <c r="F161" s="17" t="s">
        <v>67</v>
      </c>
      <c r="G161" s="37"/>
      <c r="H161" s="37"/>
      <c r="I161" s="39">
        <f>1000</f>
        <v>1000</v>
      </c>
      <c r="J161" s="39">
        <f>1000-300-37.598-276.717-76.094-86.022-13.605</f>
        <v>209.96400000000008</v>
      </c>
      <c r="K161" s="39">
        <f>1000-300-37.598-276.717-76.094-86.022-13.605</f>
        <v>209.96400000000008</v>
      </c>
      <c r="L161" s="39">
        <f>K161/J161*100</f>
        <v>100</v>
      </c>
      <c r="M161" s="78"/>
      <c r="N161" s="78"/>
      <c r="O161" s="78"/>
    </row>
    <row r="162" spans="1:15" ht="54" customHeight="1">
      <c r="A162" s="27">
        <v>154</v>
      </c>
      <c r="B162" s="52" t="s">
        <v>322</v>
      </c>
      <c r="C162" s="27">
        <v>901</v>
      </c>
      <c r="D162" s="15">
        <v>412</v>
      </c>
      <c r="E162" s="12" t="s">
        <v>131</v>
      </c>
      <c r="F162" s="17"/>
      <c r="G162" s="37"/>
      <c r="H162" s="37"/>
      <c r="I162" s="38">
        <f>SUM(I163)</f>
        <v>55</v>
      </c>
      <c r="J162" s="38">
        <f>SUM(J163)</f>
        <v>55</v>
      </c>
      <c r="K162" s="38">
        <f>SUM(K163)</f>
        <v>50</v>
      </c>
      <c r="L162" s="38">
        <f>SUM(L163)</f>
        <v>90.909090909090907</v>
      </c>
      <c r="M162" s="78"/>
      <c r="N162" s="78"/>
      <c r="O162" s="78"/>
    </row>
    <row r="163" spans="1:15" ht="30" customHeight="1">
      <c r="A163" s="27">
        <v>155</v>
      </c>
      <c r="B163" s="13" t="s">
        <v>196</v>
      </c>
      <c r="C163" s="29">
        <v>901</v>
      </c>
      <c r="D163" s="16">
        <v>412</v>
      </c>
      <c r="E163" s="17" t="s">
        <v>131</v>
      </c>
      <c r="F163" s="17" t="s">
        <v>67</v>
      </c>
      <c r="G163" s="37"/>
      <c r="H163" s="37"/>
      <c r="I163" s="39">
        <v>55</v>
      </c>
      <c r="J163" s="39">
        <v>55</v>
      </c>
      <c r="K163" s="39">
        <v>50</v>
      </c>
      <c r="L163" s="39">
        <f>K163/J163*100</f>
        <v>90.909090909090907</v>
      </c>
      <c r="M163" s="78"/>
      <c r="N163" s="78"/>
      <c r="O163" s="78"/>
    </row>
    <row r="164" spans="1:15" ht="30" customHeight="1">
      <c r="A164" s="27">
        <v>156</v>
      </c>
      <c r="B164" s="49" t="s">
        <v>233</v>
      </c>
      <c r="C164" s="27">
        <v>901</v>
      </c>
      <c r="D164" s="15">
        <v>412</v>
      </c>
      <c r="E164" s="12" t="s">
        <v>234</v>
      </c>
      <c r="F164" s="12"/>
      <c r="G164" s="40"/>
      <c r="H164" s="40"/>
      <c r="I164" s="38">
        <f>SUM(I165)</f>
        <v>40</v>
      </c>
      <c r="J164" s="38">
        <f>SUM(J165)</f>
        <v>40</v>
      </c>
      <c r="K164" s="38">
        <f>SUM(K165)</f>
        <v>0</v>
      </c>
      <c r="L164" s="38">
        <f>SUM(L165)</f>
        <v>0</v>
      </c>
      <c r="M164" s="78"/>
      <c r="N164" s="78"/>
      <c r="O164" s="78"/>
    </row>
    <row r="165" spans="1:15" ht="30" customHeight="1">
      <c r="A165" s="27">
        <v>157</v>
      </c>
      <c r="B165" s="13" t="s">
        <v>196</v>
      </c>
      <c r="C165" s="29">
        <v>901</v>
      </c>
      <c r="D165" s="16">
        <v>412</v>
      </c>
      <c r="E165" s="17" t="s">
        <v>234</v>
      </c>
      <c r="F165" s="17" t="s">
        <v>67</v>
      </c>
      <c r="G165" s="37"/>
      <c r="H165" s="37"/>
      <c r="I165" s="39">
        <v>40</v>
      </c>
      <c r="J165" s="39">
        <v>40</v>
      </c>
      <c r="K165" s="39">
        <v>0</v>
      </c>
      <c r="L165" s="39">
        <f>K165/J165*100</f>
        <v>0</v>
      </c>
      <c r="M165" s="78"/>
      <c r="N165" s="78"/>
      <c r="O165" s="78"/>
    </row>
    <row r="166" spans="1:15" ht="55.5" customHeight="1">
      <c r="A166" s="27">
        <v>158</v>
      </c>
      <c r="B166" s="52" t="s">
        <v>430</v>
      </c>
      <c r="C166" s="27">
        <v>901</v>
      </c>
      <c r="D166" s="15">
        <v>412</v>
      </c>
      <c r="E166" s="12" t="s">
        <v>273</v>
      </c>
      <c r="F166" s="12"/>
      <c r="G166" s="40"/>
      <c r="H166" s="40"/>
      <c r="I166" s="38">
        <f>SUM(I167)</f>
        <v>100</v>
      </c>
      <c r="J166" s="38">
        <f>SUM(J167)</f>
        <v>400</v>
      </c>
      <c r="K166" s="38">
        <f>SUM(K167)</f>
        <v>191.5</v>
      </c>
      <c r="L166" s="38">
        <f>SUM(L167)</f>
        <v>47.875</v>
      </c>
      <c r="M166" s="78"/>
      <c r="N166" s="78"/>
      <c r="O166" s="78"/>
    </row>
    <row r="167" spans="1:15" ht="30" customHeight="1">
      <c r="A167" s="27">
        <v>159</v>
      </c>
      <c r="B167" s="13" t="s">
        <v>196</v>
      </c>
      <c r="C167" s="29">
        <v>901</v>
      </c>
      <c r="D167" s="16">
        <v>412</v>
      </c>
      <c r="E167" s="17" t="s">
        <v>273</v>
      </c>
      <c r="F167" s="17" t="s">
        <v>67</v>
      </c>
      <c r="G167" s="37"/>
      <c r="H167" s="37"/>
      <c r="I167" s="39">
        <f>100</f>
        <v>100</v>
      </c>
      <c r="J167" s="39">
        <f>100+300</f>
        <v>400</v>
      </c>
      <c r="K167" s="39">
        <v>191.5</v>
      </c>
      <c r="L167" s="39">
        <f>K167/J167*100</f>
        <v>47.875</v>
      </c>
      <c r="M167" s="78"/>
      <c r="N167" s="78"/>
      <c r="O167" s="78"/>
    </row>
    <row r="168" spans="1:15" ht="46.5" customHeight="1">
      <c r="A168" s="27">
        <v>160</v>
      </c>
      <c r="B168" s="14" t="s">
        <v>290</v>
      </c>
      <c r="C168" s="27">
        <v>901</v>
      </c>
      <c r="D168" s="15">
        <v>412</v>
      </c>
      <c r="E168" s="11" t="s">
        <v>156</v>
      </c>
      <c r="F168" s="56"/>
      <c r="G168" s="37"/>
      <c r="H168" s="37"/>
      <c r="I168" s="38">
        <f>SUM(I169+I171+I173)</f>
        <v>80.3</v>
      </c>
      <c r="J168" s="38">
        <f>SUM(J169+J171+J173)</f>
        <v>80.3</v>
      </c>
      <c r="K168" s="38">
        <f>SUM(K169+K171+K173)</f>
        <v>23.4</v>
      </c>
      <c r="L168" s="38">
        <f>K168/J168*100</f>
        <v>29.140722291407222</v>
      </c>
      <c r="M168" s="78"/>
      <c r="N168" s="78"/>
      <c r="O168" s="78"/>
    </row>
    <row r="169" spans="1:15" ht="48" customHeight="1">
      <c r="A169" s="27">
        <v>161</v>
      </c>
      <c r="B169" s="52" t="s">
        <v>323</v>
      </c>
      <c r="C169" s="27">
        <v>901</v>
      </c>
      <c r="D169" s="15">
        <v>412</v>
      </c>
      <c r="E169" s="12" t="s">
        <v>157</v>
      </c>
      <c r="F169" s="17"/>
      <c r="G169" s="37"/>
      <c r="H169" s="37"/>
      <c r="I169" s="38">
        <f>I170</f>
        <v>56.3</v>
      </c>
      <c r="J169" s="38">
        <f>J170</f>
        <v>56.3</v>
      </c>
      <c r="K169" s="38">
        <f>K170</f>
        <v>0</v>
      </c>
      <c r="L169" s="38">
        <f>L170</f>
        <v>0</v>
      </c>
      <c r="M169" s="78"/>
      <c r="N169" s="78"/>
      <c r="O169" s="78"/>
    </row>
    <row r="170" spans="1:15" ht="39.75" customHeight="1">
      <c r="A170" s="27">
        <v>162</v>
      </c>
      <c r="B170" s="13" t="s">
        <v>198</v>
      </c>
      <c r="C170" s="29">
        <v>901</v>
      </c>
      <c r="D170" s="16">
        <v>412</v>
      </c>
      <c r="E170" s="17" t="s">
        <v>157</v>
      </c>
      <c r="F170" s="17" t="s">
        <v>47</v>
      </c>
      <c r="G170" s="37"/>
      <c r="H170" s="37"/>
      <c r="I170" s="39">
        <v>56.3</v>
      </c>
      <c r="J170" s="39">
        <v>56.3</v>
      </c>
      <c r="K170" s="39">
        <v>0</v>
      </c>
      <c r="L170" s="39">
        <f>K170/J170*100</f>
        <v>0</v>
      </c>
      <c r="M170" s="78"/>
      <c r="N170" s="78"/>
      <c r="O170" s="78"/>
    </row>
    <row r="171" spans="1:15" ht="34.5" customHeight="1">
      <c r="A171" s="27">
        <v>163</v>
      </c>
      <c r="B171" s="52" t="s">
        <v>324</v>
      </c>
      <c r="C171" s="27">
        <v>901</v>
      </c>
      <c r="D171" s="55">
        <v>412</v>
      </c>
      <c r="E171" s="11" t="s">
        <v>158</v>
      </c>
      <c r="F171" s="56"/>
      <c r="G171" s="37"/>
      <c r="H171" s="37"/>
      <c r="I171" s="38">
        <f>I172</f>
        <v>9.4</v>
      </c>
      <c r="J171" s="38">
        <f>J172</f>
        <v>9.4</v>
      </c>
      <c r="K171" s="38">
        <f>K172</f>
        <v>9</v>
      </c>
      <c r="L171" s="38">
        <f>L172</f>
        <v>95.744680851063819</v>
      </c>
      <c r="M171" s="78"/>
      <c r="N171" s="78"/>
      <c r="O171" s="78"/>
    </row>
    <row r="172" spans="1:15" ht="29.25" customHeight="1">
      <c r="A172" s="27">
        <v>164</v>
      </c>
      <c r="B172" s="13" t="s">
        <v>196</v>
      </c>
      <c r="C172" s="29">
        <v>901</v>
      </c>
      <c r="D172" s="57">
        <v>412</v>
      </c>
      <c r="E172" s="56" t="s">
        <v>158</v>
      </c>
      <c r="F172" s="56" t="s">
        <v>67</v>
      </c>
      <c r="G172" s="37"/>
      <c r="H172" s="37"/>
      <c r="I172" s="39">
        <v>9.4</v>
      </c>
      <c r="J172" s="39">
        <v>9.4</v>
      </c>
      <c r="K172" s="39">
        <v>9</v>
      </c>
      <c r="L172" s="39">
        <f>K172/J172*100</f>
        <v>95.744680851063819</v>
      </c>
      <c r="M172" s="78"/>
      <c r="N172" s="78"/>
      <c r="O172" s="78"/>
    </row>
    <row r="173" spans="1:15" ht="43.5" customHeight="1">
      <c r="A173" s="27">
        <v>165</v>
      </c>
      <c r="B173" s="52" t="s">
        <v>325</v>
      </c>
      <c r="C173" s="27">
        <v>901</v>
      </c>
      <c r="D173" s="55">
        <v>412</v>
      </c>
      <c r="E173" s="11" t="s">
        <v>159</v>
      </c>
      <c r="F173" s="56"/>
      <c r="G173" s="37"/>
      <c r="H173" s="37"/>
      <c r="I173" s="38">
        <f>I174</f>
        <v>14.6</v>
      </c>
      <c r="J173" s="38">
        <f>J174</f>
        <v>14.6</v>
      </c>
      <c r="K173" s="38">
        <f>K174</f>
        <v>14.4</v>
      </c>
      <c r="L173" s="38">
        <f>L174</f>
        <v>98.63013698630138</v>
      </c>
      <c r="M173" s="78"/>
      <c r="N173" s="78"/>
      <c r="O173" s="78"/>
    </row>
    <row r="174" spans="1:15" ht="28.5" customHeight="1">
      <c r="A174" s="27">
        <v>166</v>
      </c>
      <c r="B174" s="13" t="s">
        <v>196</v>
      </c>
      <c r="C174" s="29">
        <v>901</v>
      </c>
      <c r="D174" s="57">
        <v>412</v>
      </c>
      <c r="E174" s="56" t="s">
        <v>159</v>
      </c>
      <c r="F174" s="56" t="s">
        <v>67</v>
      </c>
      <c r="G174" s="37"/>
      <c r="H174" s="37"/>
      <c r="I174" s="39">
        <v>14.6</v>
      </c>
      <c r="J174" s="39">
        <v>14.6</v>
      </c>
      <c r="K174" s="39">
        <v>14.4</v>
      </c>
      <c r="L174" s="39">
        <f>K174/J174*100</f>
        <v>98.63013698630138</v>
      </c>
      <c r="M174" s="78"/>
      <c r="N174" s="78"/>
      <c r="O174" s="78"/>
    </row>
    <row r="175" spans="1:15" ht="38.25">
      <c r="A175" s="27">
        <v>167</v>
      </c>
      <c r="B175" s="14" t="s">
        <v>291</v>
      </c>
      <c r="C175" s="27">
        <v>901</v>
      </c>
      <c r="D175" s="55">
        <v>412</v>
      </c>
      <c r="E175" s="11" t="s">
        <v>400</v>
      </c>
      <c r="F175" s="56"/>
      <c r="G175" s="37"/>
      <c r="H175" s="37"/>
      <c r="I175" s="38">
        <f>SUM(I176)</f>
        <v>1350</v>
      </c>
      <c r="J175" s="38">
        <f>SUM(J176)</f>
        <v>2355</v>
      </c>
      <c r="K175" s="38">
        <f>SUM(K176)</f>
        <v>1350</v>
      </c>
      <c r="L175" s="38">
        <f>K175/J175*100</f>
        <v>57.324840764331206</v>
      </c>
      <c r="M175" s="78"/>
      <c r="N175" s="78"/>
      <c r="O175" s="78"/>
    </row>
    <row r="176" spans="1:15" ht="54.75" customHeight="1">
      <c r="A176" s="27">
        <v>168</v>
      </c>
      <c r="B176" s="54" t="s">
        <v>241</v>
      </c>
      <c r="C176" s="27">
        <v>901</v>
      </c>
      <c r="D176" s="55">
        <v>412</v>
      </c>
      <c r="E176" s="11" t="s">
        <v>400</v>
      </c>
      <c r="F176" s="56"/>
      <c r="G176" s="37"/>
      <c r="H176" s="37"/>
      <c r="I176" s="38">
        <f>SUM(I177+I179+I181+I183)</f>
        <v>1350</v>
      </c>
      <c r="J176" s="38">
        <f>SUM(J177+J179+J181+J183)</f>
        <v>2355</v>
      </c>
      <c r="K176" s="38">
        <f>SUM(K177+K179+K181+K183)</f>
        <v>1350</v>
      </c>
      <c r="L176" s="38">
        <f>K176/J176*100</f>
        <v>57.324840764331206</v>
      </c>
      <c r="M176" s="78"/>
      <c r="N176" s="78"/>
      <c r="O176" s="78"/>
    </row>
    <row r="177" spans="1:15" ht="33.75" customHeight="1">
      <c r="A177" s="27">
        <v>169</v>
      </c>
      <c r="B177" s="14" t="s">
        <v>418</v>
      </c>
      <c r="C177" s="27">
        <v>901</v>
      </c>
      <c r="D177" s="55">
        <v>412</v>
      </c>
      <c r="E177" s="11" t="s">
        <v>419</v>
      </c>
      <c r="F177" s="11"/>
      <c r="G177" s="40"/>
      <c r="H177" s="40"/>
      <c r="I177" s="38">
        <f>SUM(I178)</f>
        <v>0</v>
      </c>
      <c r="J177" s="38">
        <f>SUM(J178)</f>
        <v>900</v>
      </c>
      <c r="K177" s="38">
        <f>SUM(K178)</f>
        <v>0</v>
      </c>
      <c r="L177" s="38">
        <f>SUM(L178)</f>
        <v>0</v>
      </c>
      <c r="M177" s="78"/>
      <c r="N177" s="78"/>
      <c r="O177" s="78"/>
    </row>
    <row r="178" spans="1:15" ht="28.5" customHeight="1">
      <c r="A178" s="27">
        <v>170</v>
      </c>
      <c r="B178" s="13" t="s">
        <v>196</v>
      </c>
      <c r="C178" s="29">
        <v>901</v>
      </c>
      <c r="D178" s="57">
        <v>412</v>
      </c>
      <c r="E178" s="56" t="s">
        <v>419</v>
      </c>
      <c r="F178" s="56" t="s">
        <v>67</v>
      </c>
      <c r="G178" s="37"/>
      <c r="H178" s="37"/>
      <c r="I178" s="39">
        <v>0</v>
      </c>
      <c r="J178" s="39">
        <v>900</v>
      </c>
      <c r="K178" s="39">
        <v>0</v>
      </c>
      <c r="L178" s="39">
        <v>0</v>
      </c>
      <c r="M178" s="78"/>
      <c r="N178" s="78"/>
      <c r="O178" s="78"/>
    </row>
    <row r="179" spans="1:15" ht="29.25" customHeight="1">
      <c r="A179" s="27">
        <v>171</v>
      </c>
      <c r="B179" s="60" t="s">
        <v>326</v>
      </c>
      <c r="C179" s="27">
        <v>901</v>
      </c>
      <c r="D179" s="55">
        <v>412</v>
      </c>
      <c r="E179" s="11" t="s">
        <v>242</v>
      </c>
      <c r="F179" s="11"/>
      <c r="G179" s="37"/>
      <c r="H179" s="37"/>
      <c r="I179" s="38">
        <f>I180</f>
        <v>900</v>
      </c>
      <c r="J179" s="38">
        <f>J180</f>
        <v>0</v>
      </c>
      <c r="K179" s="38">
        <f>K180</f>
        <v>0</v>
      </c>
      <c r="L179" s="38">
        <f>L180</f>
        <v>0</v>
      </c>
      <c r="M179" s="78"/>
      <c r="N179" s="78"/>
      <c r="O179" s="78"/>
    </row>
    <row r="180" spans="1:15" ht="27" customHeight="1">
      <c r="A180" s="27">
        <v>172</v>
      </c>
      <c r="B180" s="13" t="s">
        <v>196</v>
      </c>
      <c r="C180" s="29">
        <v>901</v>
      </c>
      <c r="D180" s="57">
        <v>412</v>
      </c>
      <c r="E180" s="56" t="s">
        <v>242</v>
      </c>
      <c r="F180" s="56" t="s">
        <v>67</v>
      </c>
      <c r="G180" s="37"/>
      <c r="H180" s="37"/>
      <c r="I180" s="39">
        <v>900</v>
      </c>
      <c r="J180" s="39">
        <v>0</v>
      </c>
      <c r="K180" s="39">
        <v>0</v>
      </c>
      <c r="L180" s="39">
        <v>0</v>
      </c>
      <c r="M180" s="78"/>
      <c r="N180" s="78"/>
      <c r="O180" s="78"/>
    </row>
    <row r="181" spans="1:15" ht="39.75" customHeight="1">
      <c r="A181" s="27">
        <v>173</v>
      </c>
      <c r="B181" s="52" t="s">
        <v>327</v>
      </c>
      <c r="C181" s="27">
        <v>901</v>
      </c>
      <c r="D181" s="55">
        <v>412</v>
      </c>
      <c r="E181" s="11" t="s">
        <v>328</v>
      </c>
      <c r="F181" s="11"/>
      <c r="G181" s="40"/>
      <c r="H181" s="40"/>
      <c r="I181" s="38">
        <f>SUM(I182)</f>
        <v>450</v>
      </c>
      <c r="J181" s="38">
        <f>SUM(J182)</f>
        <v>405</v>
      </c>
      <c r="K181" s="38">
        <f>SUM(K182)</f>
        <v>405</v>
      </c>
      <c r="L181" s="38">
        <f>SUM(L182)</f>
        <v>100</v>
      </c>
      <c r="M181" s="78"/>
      <c r="N181" s="78"/>
      <c r="O181" s="78"/>
    </row>
    <row r="182" spans="1:15" ht="27" customHeight="1">
      <c r="A182" s="27">
        <v>174</v>
      </c>
      <c r="B182" s="13" t="s">
        <v>196</v>
      </c>
      <c r="C182" s="29">
        <v>901</v>
      </c>
      <c r="D182" s="57">
        <v>412</v>
      </c>
      <c r="E182" s="56" t="s">
        <v>328</v>
      </c>
      <c r="F182" s="56" t="s">
        <v>67</v>
      </c>
      <c r="G182" s="37"/>
      <c r="H182" s="37"/>
      <c r="I182" s="39">
        <f>450</f>
        <v>450</v>
      </c>
      <c r="J182" s="39">
        <f>450-45</f>
        <v>405</v>
      </c>
      <c r="K182" s="39">
        <f>450-45</f>
        <v>405</v>
      </c>
      <c r="L182" s="39">
        <f>K182/J182*100</f>
        <v>100</v>
      </c>
      <c r="M182" s="78"/>
      <c r="N182" s="78"/>
      <c r="O182" s="78"/>
    </row>
    <row r="183" spans="1:15" ht="27" customHeight="1">
      <c r="A183" s="27">
        <v>175</v>
      </c>
      <c r="B183" s="10" t="s">
        <v>398</v>
      </c>
      <c r="C183" s="27">
        <v>901</v>
      </c>
      <c r="D183" s="55">
        <v>412</v>
      </c>
      <c r="E183" s="11" t="s">
        <v>399</v>
      </c>
      <c r="F183" s="11"/>
      <c r="G183" s="40"/>
      <c r="H183" s="40"/>
      <c r="I183" s="38">
        <f>SUM(I184)</f>
        <v>0</v>
      </c>
      <c r="J183" s="38">
        <f>SUM(J184)</f>
        <v>1050</v>
      </c>
      <c r="K183" s="38">
        <f>SUM(K184)</f>
        <v>945</v>
      </c>
      <c r="L183" s="38">
        <f>SUM(L184)</f>
        <v>90</v>
      </c>
      <c r="M183" s="78"/>
      <c r="N183" s="78"/>
      <c r="O183" s="78"/>
    </row>
    <row r="184" spans="1:15" ht="27" customHeight="1">
      <c r="A184" s="27">
        <v>176</v>
      </c>
      <c r="B184" s="13" t="s">
        <v>196</v>
      </c>
      <c r="C184" s="29">
        <v>901</v>
      </c>
      <c r="D184" s="57">
        <v>412</v>
      </c>
      <c r="E184" s="56" t="s">
        <v>399</v>
      </c>
      <c r="F184" s="56" t="s">
        <v>67</v>
      </c>
      <c r="G184" s="37"/>
      <c r="H184" s="37"/>
      <c r="I184" s="39">
        <v>0</v>
      </c>
      <c r="J184" s="39">
        <v>1050</v>
      </c>
      <c r="K184" s="39">
        <v>945</v>
      </c>
      <c r="L184" s="39">
        <f>K184/J184*100</f>
        <v>90</v>
      </c>
      <c r="M184" s="78"/>
      <c r="N184" s="78"/>
      <c r="O184" s="78"/>
    </row>
    <row r="185" spans="1:15" ht="45.75" customHeight="1">
      <c r="A185" s="27">
        <v>177</v>
      </c>
      <c r="B185" s="14" t="s">
        <v>329</v>
      </c>
      <c r="C185" s="27">
        <v>901</v>
      </c>
      <c r="D185" s="15">
        <v>412</v>
      </c>
      <c r="E185" s="12" t="s">
        <v>271</v>
      </c>
      <c r="F185" s="17"/>
      <c r="G185" s="37"/>
      <c r="H185" s="37"/>
      <c r="I185" s="38">
        <f t="shared" ref="I185:L186" si="14">I186</f>
        <v>50</v>
      </c>
      <c r="J185" s="38">
        <f t="shared" si="14"/>
        <v>50</v>
      </c>
      <c r="K185" s="38">
        <f t="shared" si="14"/>
        <v>50</v>
      </c>
      <c r="L185" s="38">
        <f t="shared" si="14"/>
        <v>100</v>
      </c>
      <c r="M185" s="78"/>
      <c r="N185" s="78"/>
      <c r="O185" s="78"/>
    </row>
    <row r="186" spans="1:15" ht="27" customHeight="1">
      <c r="A186" s="27">
        <v>178</v>
      </c>
      <c r="B186" s="14" t="s">
        <v>255</v>
      </c>
      <c r="C186" s="27">
        <v>901</v>
      </c>
      <c r="D186" s="15">
        <v>412</v>
      </c>
      <c r="E186" s="12" t="s">
        <v>162</v>
      </c>
      <c r="F186" s="17"/>
      <c r="G186" s="37"/>
      <c r="H186" s="37"/>
      <c r="I186" s="38">
        <f t="shared" si="14"/>
        <v>50</v>
      </c>
      <c r="J186" s="38">
        <f t="shared" si="14"/>
        <v>50</v>
      </c>
      <c r="K186" s="38">
        <f t="shared" si="14"/>
        <v>50</v>
      </c>
      <c r="L186" s="38">
        <f t="shared" si="14"/>
        <v>100</v>
      </c>
      <c r="M186" s="78"/>
      <c r="N186" s="78"/>
      <c r="O186" s="78"/>
    </row>
    <row r="187" spans="1:15" ht="27" customHeight="1">
      <c r="A187" s="27">
        <v>179</v>
      </c>
      <c r="B187" s="13" t="s">
        <v>196</v>
      </c>
      <c r="C187" s="29">
        <v>901</v>
      </c>
      <c r="D187" s="16">
        <v>412</v>
      </c>
      <c r="E187" s="17" t="s">
        <v>162</v>
      </c>
      <c r="F187" s="17" t="s">
        <v>67</v>
      </c>
      <c r="G187" s="37"/>
      <c r="H187" s="37"/>
      <c r="I187" s="39">
        <v>50</v>
      </c>
      <c r="J187" s="39">
        <v>50</v>
      </c>
      <c r="K187" s="39">
        <v>50</v>
      </c>
      <c r="L187" s="39">
        <f>K187/J187*100</f>
        <v>100</v>
      </c>
      <c r="M187" s="78"/>
      <c r="N187" s="78"/>
      <c r="O187" s="78"/>
    </row>
    <row r="188" spans="1:15" ht="52.5" customHeight="1">
      <c r="A188" s="27">
        <v>180</v>
      </c>
      <c r="B188" s="14" t="s">
        <v>221</v>
      </c>
      <c r="C188" s="27">
        <v>901</v>
      </c>
      <c r="D188" s="55">
        <v>412</v>
      </c>
      <c r="E188" s="11" t="s">
        <v>274</v>
      </c>
      <c r="F188" s="11"/>
      <c r="G188" s="40"/>
      <c r="H188" s="40"/>
      <c r="I188" s="38">
        <f>SUM(I189+I191)</f>
        <v>1213.0999999999999</v>
      </c>
      <c r="J188" s="38">
        <f>SUM(J189+J191)</f>
        <v>4043.1</v>
      </c>
      <c r="K188" s="38">
        <f>SUM(K189+K191)</f>
        <v>296.39999999999998</v>
      </c>
      <c r="L188" s="38">
        <f>K188/J188*100</f>
        <v>7.3310083846553384</v>
      </c>
      <c r="M188" s="78"/>
      <c r="N188" s="78"/>
      <c r="O188" s="78"/>
    </row>
    <row r="189" spans="1:15" ht="27" customHeight="1">
      <c r="A189" s="27">
        <v>181</v>
      </c>
      <c r="B189" s="52" t="s">
        <v>330</v>
      </c>
      <c r="C189" s="27">
        <v>901</v>
      </c>
      <c r="D189" s="55">
        <v>412</v>
      </c>
      <c r="E189" s="11" t="s">
        <v>222</v>
      </c>
      <c r="F189" s="11"/>
      <c r="G189" s="40"/>
      <c r="H189" s="40"/>
      <c r="I189" s="38">
        <f>SUM(I190)</f>
        <v>1213.0999999999999</v>
      </c>
      <c r="J189" s="38">
        <f>SUM(J190)</f>
        <v>1213.0999999999999</v>
      </c>
      <c r="K189" s="38">
        <f>SUM(K190)</f>
        <v>88.9</v>
      </c>
      <c r="L189" s="38">
        <f>SUM(L190)</f>
        <v>7.3283323716099265</v>
      </c>
      <c r="M189" s="78"/>
      <c r="N189" s="78"/>
      <c r="O189" s="78"/>
    </row>
    <row r="190" spans="1:15" ht="27" customHeight="1">
      <c r="A190" s="27">
        <v>182</v>
      </c>
      <c r="B190" s="13" t="s">
        <v>196</v>
      </c>
      <c r="C190" s="29">
        <v>901</v>
      </c>
      <c r="D190" s="57">
        <v>412</v>
      </c>
      <c r="E190" s="56" t="s">
        <v>222</v>
      </c>
      <c r="F190" s="56" t="s">
        <v>67</v>
      </c>
      <c r="G190" s="37"/>
      <c r="H190" s="37"/>
      <c r="I190" s="39">
        <v>1213.0999999999999</v>
      </c>
      <c r="J190" s="39">
        <v>1213.0999999999999</v>
      </c>
      <c r="K190" s="39">
        <v>88.9</v>
      </c>
      <c r="L190" s="39">
        <f>K190/J190*100</f>
        <v>7.3283323716099265</v>
      </c>
      <c r="M190" s="78"/>
      <c r="N190" s="78"/>
      <c r="O190" s="78"/>
    </row>
    <row r="191" spans="1:15" ht="91.5" customHeight="1">
      <c r="A191" s="27">
        <v>183</v>
      </c>
      <c r="B191" s="14" t="s">
        <v>401</v>
      </c>
      <c r="C191" s="27">
        <v>901</v>
      </c>
      <c r="D191" s="55">
        <v>412</v>
      </c>
      <c r="E191" s="11" t="s">
        <v>402</v>
      </c>
      <c r="F191" s="11"/>
      <c r="G191" s="40"/>
      <c r="H191" s="40"/>
      <c r="I191" s="38">
        <f>SUM(I192)</f>
        <v>0</v>
      </c>
      <c r="J191" s="38">
        <f>SUM(J192)</f>
        <v>2830</v>
      </c>
      <c r="K191" s="38">
        <f>SUM(K192)</f>
        <v>207.5</v>
      </c>
      <c r="L191" s="38">
        <f>SUM(L192)</f>
        <v>7.3321554770318018</v>
      </c>
      <c r="M191" s="78"/>
      <c r="N191" s="78"/>
      <c r="O191" s="78"/>
    </row>
    <row r="192" spans="1:15" ht="27" customHeight="1">
      <c r="A192" s="27">
        <v>184</v>
      </c>
      <c r="B192" s="13" t="s">
        <v>196</v>
      </c>
      <c r="C192" s="29">
        <v>901</v>
      </c>
      <c r="D192" s="57">
        <v>412</v>
      </c>
      <c r="E192" s="56" t="s">
        <v>402</v>
      </c>
      <c r="F192" s="56" t="s">
        <v>67</v>
      </c>
      <c r="G192" s="37"/>
      <c r="H192" s="37"/>
      <c r="I192" s="39">
        <v>0</v>
      </c>
      <c r="J192" s="39">
        <v>2830</v>
      </c>
      <c r="K192" s="39">
        <v>207.5</v>
      </c>
      <c r="L192" s="39">
        <f>K192/J192*100</f>
        <v>7.3321554770318018</v>
      </c>
      <c r="M192" s="78"/>
      <c r="N192" s="78"/>
      <c r="O192" s="78"/>
    </row>
    <row r="193" spans="1:15" ht="36.75" customHeight="1">
      <c r="A193" s="27">
        <v>185</v>
      </c>
      <c r="B193" s="52" t="s">
        <v>278</v>
      </c>
      <c r="C193" s="27">
        <v>901</v>
      </c>
      <c r="D193" s="55">
        <v>412</v>
      </c>
      <c r="E193" s="11" t="s">
        <v>280</v>
      </c>
      <c r="F193" s="11"/>
      <c r="G193" s="40"/>
      <c r="H193" s="40"/>
      <c r="I193" s="38">
        <f>SUM(I194)</f>
        <v>23</v>
      </c>
      <c r="J193" s="38">
        <f>SUM(J194)</f>
        <v>23</v>
      </c>
      <c r="K193" s="38">
        <f>SUM(K194)</f>
        <v>22.9</v>
      </c>
      <c r="L193" s="38">
        <f>SUM(L194)</f>
        <v>99.565217391304344</v>
      </c>
      <c r="M193" s="78"/>
      <c r="N193" s="78"/>
      <c r="O193" s="78"/>
    </row>
    <row r="194" spans="1:15" ht="43.5" customHeight="1">
      <c r="A194" s="27">
        <v>186</v>
      </c>
      <c r="B194" s="44" t="s">
        <v>331</v>
      </c>
      <c r="C194" s="27">
        <v>901</v>
      </c>
      <c r="D194" s="55">
        <v>412</v>
      </c>
      <c r="E194" s="11" t="s">
        <v>333</v>
      </c>
      <c r="F194" s="11"/>
      <c r="G194" s="40"/>
      <c r="H194" s="40"/>
      <c r="I194" s="38">
        <f>SUM(I195+I197)</f>
        <v>23</v>
      </c>
      <c r="J194" s="38">
        <f>SUM(J195+J197)</f>
        <v>23</v>
      </c>
      <c r="K194" s="38">
        <f>SUM(K195+K197)</f>
        <v>22.9</v>
      </c>
      <c r="L194" s="38">
        <f>K194/J194*100</f>
        <v>99.565217391304344</v>
      </c>
      <c r="M194" s="78"/>
      <c r="N194" s="78"/>
      <c r="O194" s="78"/>
    </row>
    <row r="195" spans="1:15" ht="41.25" customHeight="1">
      <c r="A195" s="27">
        <v>187</v>
      </c>
      <c r="B195" s="44" t="s">
        <v>279</v>
      </c>
      <c r="C195" s="27">
        <v>901</v>
      </c>
      <c r="D195" s="55">
        <v>412</v>
      </c>
      <c r="E195" s="11" t="s">
        <v>281</v>
      </c>
      <c r="F195" s="11"/>
      <c r="G195" s="37"/>
      <c r="H195" s="37"/>
      <c r="I195" s="38">
        <f>SUM(I196)</f>
        <v>3</v>
      </c>
      <c r="J195" s="38">
        <f>SUM(J196)</f>
        <v>3</v>
      </c>
      <c r="K195" s="38">
        <f>SUM(K196)</f>
        <v>2.9</v>
      </c>
      <c r="L195" s="38">
        <f>SUM(L196)</f>
        <v>96.666666666666671</v>
      </c>
      <c r="M195" s="78"/>
      <c r="N195" s="78"/>
      <c r="O195" s="78"/>
    </row>
    <row r="196" spans="1:15" ht="27" customHeight="1">
      <c r="A196" s="27">
        <v>188</v>
      </c>
      <c r="B196" s="13" t="s">
        <v>196</v>
      </c>
      <c r="C196" s="29">
        <v>901</v>
      </c>
      <c r="D196" s="57">
        <v>412</v>
      </c>
      <c r="E196" s="56" t="s">
        <v>281</v>
      </c>
      <c r="F196" s="56" t="s">
        <v>67</v>
      </c>
      <c r="G196" s="37"/>
      <c r="H196" s="37"/>
      <c r="I196" s="39">
        <v>3</v>
      </c>
      <c r="J196" s="39">
        <v>3</v>
      </c>
      <c r="K196" s="39">
        <v>2.9</v>
      </c>
      <c r="L196" s="39">
        <f>K196/J196*100</f>
        <v>96.666666666666671</v>
      </c>
      <c r="M196" s="78"/>
      <c r="N196" s="78"/>
      <c r="O196" s="78"/>
    </row>
    <row r="197" spans="1:15" ht="52.5" customHeight="1">
      <c r="A197" s="27">
        <v>189</v>
      </c>
      <c r="B197" s="52" t="s">
        <v>332</v>
      </c>
      <c r="C197" s="27">
        <v>901</v>
      </c>
      <c r="D197" s="55">
        <v>412</v>
      </c>
      <c r="E197" s="11" t="s">
        <v>334</v>
      </c>
      <c r="F197" s="11"/>
      <c r="G197" s="37"/>
      <c r="H197" s="37"/>
      <c r="I197" s="38">
        <f>SUM(I198)</f>
        <v>20</v>
      </c>
      <c r="J197" s="38">
        <f>SUM(J198)</f>
        <v>20</v>
      </c>
      <c r="K197" s="38">
        <f>SUM(K198)</f>
        <v>20</v>
      </c>
      <c r="L197" s="38">
        <f>SUM(L198)</f>
        <v>100</v>
      </c>
      <c r="M197" s="78"/>
      <c r="N197" s="78"/>
      <c r="O197" s="78"/>
    </row>
    <row r="198" spans="1:15" ht="27" customHeight="1">
      <c r="A198" s="27">
        <v>190</v>
      </c>
      <c r="B198" s="13" t="s">
        <v>196</v>
      </c>
      <c r="C198" s="29">
        <v>901</v>
      </c>
      <c r="D198" s="57">
        <v>412</v>
      </c>
      <c r="E198" s="56" t="s">
        <v>334</v>
      </c>
      <c r="F198" s="56" t="s">
        <v>67</v>
      </c>
      <c r="G198" s="37"/>
      <c r="H198" s="37"/>
      <c r="I198" s="39">
        <v>20</v>
      </c>
      <c r="J198" s="39">
        <v>20</v>
      </c>
      <c r="K198" s="39">
        <v>20</v>
      </c>
      <c r="L198" s="39">
        <f>K198/J198*100</f>
        <v>100</v>
      </c>
      <c r="M198" s="78"/>
      <c r="N198" s="78"/>
      <c r="O198" s="78"/>
    </row>
    <row r="199" spans="1:15" ht="19.5" customHeight="1">
      <c r="A199" s="27">
        <v>191</v>
      </c>
      <c r="B199" s="14" t="s">
        <v>13</v>
      </c>
      <c r="C199" s="27">
        <v>901</v>
      </c>
      <c r="D199" s="15">
        <v>500</v>
      </c>
      <c r="E199" s="12"/>
      <c r="F199" s="17"/>
      <c r="G199" s="37"/>
      <c r="H199" s="37"/>
      <c r="I199" s="38">
        <f>I200+I211+I223+I238</f>
        <v>50563.409</v>
      </c>
      <c r="J199" s="38">
        <f>J200+J211+J223+J238</f>
        <v>45396.733990000001</v>
      </c>
      <c r="K199" s="38">
        <f>K200+K211+K223+K238</f>
        <v>41091.42</v>
      </c>
      <c r="L199" s="38">
        <f>K199/J199*100</f>
        <v>90.516247290061926</v>
      </c>
      <c r="M199" s="78"/>
      <c r="N199" s="78"/>
      <c r="O199" s="78"/>
    </row>
    <row r="200" spans="1:15" ht="21" customHeight="1">
      <c r="A200" s="27">
        <v>192</v>
      </c>
      <c r="B200" s="14" t="s">
        <v>14</v>
      </c>
      <c r="C200" s="27">
        <v>901</v>
      </c>
      <c r="D200" s="15">
        <v>501</v>
      </c>
      <c r="E200" s="12"/>
      <c r="F200" s="17"/>
      <c r="G200" s="37"/>
      <c r="H200" s="37"/>
      <c r="I200" s="38">
        <f>SUM(I201+I208)</f>
        <v>1165</v>
      </c>
      <c r="J200" s="38">
        <f>SUM(J201+J208)</f>
        <v>1257.2</v>
      </c>
      <c r="K200" s="38">
        <f>SUM(K201+K208)</f>
        <v>877.8</v>
      </c>
      <c r="L200" s="38">
        <f>K200/J200*100</f>
        <v>69.821826280623597</v>
      </c>
      <c r="M200" s="78"/>
      <c r="N200" s="78"/>
      <c r="O200" s="78"/>
    </row>
    <row r="201" spans="1:15" ht="38.25">
      <c r="A201" s="27">
        <v>193</v>
      </c>
      <c r="B201" s="42" t="s">
        <v>292</v>
      </c>
      <c r="C201" s="27">
        <v>901</v>
      </c>
      <c r="D201" s="15">
        <v>501</v>
      </c>
      <c r="E201" s="12" t="s">
        <v>160</v>
      </c>
      <c r="F201" s="17"/>
      <c r="G201" s="37"/>
      <c r="H201" s="37"/>
      <c r="I201" s="38">
        <f>SUM(I202+I204+I206)</f>
        <v>1092</v>
      </c>
      <c r="J201" s="38">
        <f>SUM(J202+J204+J206)</f>
        <v>1184.2</v>
      </c>
      <c r="K201" s="38">
        <f>SUM(K202+K204+K206)</f>
        <v>877.8</v>
      </c>
      <c r="L201" s="38">
        <f>K201/J201*100</f>
        <v>74.125992231042048</v>
      </c>
      <c r="M201" s="78"/>
      <c r="N201" s="78"/>
      <c r="O201" s="78"/>
    </row>
    <row r="202" spans="1:15" ht="43.5" customHeight="1">
      <c r="A202" s="27">
        <v>194</v>
      </c>
      <c r="B202" s="42" t="s">
        <v>243</v>
      </c>
      <c r="C202" s="27">
        <v>901</v>
      </c>
      <c r="D202" s="15">
        <v>501</v>
      </c>
      <c r="E202" s="12" t="s">
        <v>161</v>
      </c>
      <c r="F202" s="17"/>
      <c r="G202" s="37"/>
      <c r="H202" s="37"/>
      <c r="I202" s="38">
        <f>I203</f>
        <v>1022</v>
      </c>
      <c r="J202" s="38">
        <f>J203</f>
        <v>900.26700000000005</v>
      </c>
      <c r="K202" s="38">
        <f>K203</f>
        <v>595.29999999999995</v>
      </c>
      <c r="L202" s="38">
        <f>L203</f>
        <v>66.124827412312115</v>
      </c>
      <c r="M202" s="78"/>
      <c r="N202" s="78"/>
      <c r="O202" s="78"/>
    </row>
    <row r="203" spans="1:15" ht="29.25" customHeight="1">
      <c r="A203" s="27">
        <v>195</v>
      </c>
      <c r="B203" s="13" t="s">
        <v>196</v>
      </c>
      <c r="C203" s="29">
        <v>901</v>
      </c>
      <c r="D203" s="16">
        <v>501</v>
      </c>
      <c r="E203" s="17" t="s">
        <v>161</v>
      </c>
      <c r="F203" s="17" t="s">
        <v>67</v>
      </c>
      <c r="G203" s="37"/>
      <c r="H203" s="37"/>
      <c r="I203" s="39">
        <f>1022</f>
        <v>1022</v>
      </c>
      <c r="J203" s="39">
        <f>1022-8.015-73.718-40</f>
        <v>900.26700000000005</v>
      </c>
      <c r="K203" s="39">
        <v>595.29999999999995</v>
      </c>
      <c r="L203" s="39">
        <f>K203/J203*100</f>
        <v>66.124827412312115</v>
      </c>
      <c r="M203" s="78"/>
      <c r="N203" s="78"/>
      <c r="O203" s="78"/>
    </row>
    <row r="204" spans="1:15" ht="29.25" customHeight="1">
      <c r="A204" s="27">
        <v>196</v>
      </c>
      <c r="B204" s="40" t="s">
        <v>244</v>
      </c>
      <c r="C204" s="27">
        <v>901</v>
      </c>
      <c r="D204" s="15">
        <v>501</v>
      </c>
      <c r="E204" s="12" t="s">
        <v>245</v>
      </c>
      <c r="F204" s="12"/>
      <c r="G204" s="40"/>
      <c r="H204" s="40"/>
      <c r="I204" s="38">
        <f>SUM(I205)</f>
        <v>70</v>
      </c>
      <c r="J204" s="38">
        <f>SUM(J205)</f>
        <v>0</v>
      </c>
      <c r="K204" s="38">
        <f>SUM(K205)</f>
        <v>0</v>
      </c>
      <c r="L204" s="38">
        <f>SUM(L205)</f>
        <v>0</v>
      </c>
      <c r="M204" s="78"/>
      <c r="N204" s="78"/>
      <c r="O204" s="78"/>
    </row>
    <row r="205" spans="1:15" ht="29.25" customHeight="1">
      <c r="A205" s="27">
        <v>197</v>
      </c>
      <c r="B205" s="13" t="s">
        <v>196</v>
      </c>
      <c r="C205" s="29">
        <v>901</v>
      </c>
      <c r="D205" s="16">
        <v>501</v>
      </c>
      <c r="E205" s="17" t="s">
        <v>245</v>
      </c>
      <c r="F205" s="17" t="s">
        <v>67</v>
      </c>
      <c r="G205" s="37"/>
      <c r="H205" s="37"/>
      <c r="I205" s="39">
        <f>70</f>
        <v>70</v>
      </c>
      <c r="J205" s="39">
        <f>70-70</f>
        <v>0</v>
      </c>
      <c r="K205" s="39">
        <f>70-70</f>
        <v>0</v>
      </c>
      <c r="L205" s="39">
        <f>70-70</f>
        <v>0</v>
      </c>
      <c r="M205" s="78"/>
      <c r="N205" s="78"/>
      <c r="O205" s="78"/>
    </row>
    <row r="206" spans="1:15" ht="29.25" customHeight="1">
      <c r="A206" s="27">
        <v>198</v>
      </c>
      <c r="B206" s="14" t="s">
        <v>409</v>
      </c>
      <c r="C206" s="27">
        <v>901</v>
      </c>
      <c r="D206" s="15">
        <v>501</v>
      </c>
      <c r="E206" s="12" t="s">
        <v>410</v>
      </c>
      <c r="F206" s="12"/>
      <c r="G206" s="40"/>
      <c r="H206" s="40"/>
      <c r="I206" s="38">
        <f>SUM(I207)</f>
        <v>0</v>
      </c>
      <c r="J206" s="38">
        <f>SUM(J207)</f>
        <v>283.93299999999999</v>
      </c>
      <c r="K206" s="38">
        <f>SUM(K207)</f>
        <v>282.5</v>
      </c>
      <c r="L206" s="38">
        <f>SUM(L207)</f>
        <v>99.495303469480476</v>
      </c>
      <c r="M206" s="78"/>
      <c r="N206" s="78"/>
      <c r="O206" s="78"/>
    </row>
    <row r="207" spans="1:15" ht="29.25" customHeight="1">
      <c r="A207" s="27">
        <v>199</v>
      </c>
      <c r="B207" s="13" t="s">
        <v>196</v>
      </c>
      <c r="C207" s="29">
        <v>901</v>
      </c>
      <c r="D207" s="16">
        <v>501</v>
      </c>
      <c r="E207" s="17" t="s">
        <v>410</v>
      </c>
      <c r="F207" s="17" t="s">
        <v>67</v>
      </c>
      <c r="G207" s="37"/>
      <c r="H207" s="37"/>
      <c r="I207" s="39">
        <v>0</v>
      </c>
      <c r="J207" s="39">
        <v>283.93299999999999</v>
      </c>
      <c r="K207" s="39">
        <v>282.5</v>
      </c>
      <c r="L207" s="39">
        <f>K207/J207*100</f>
        <v>99.495303469480476</v>
      </c>
      <c r="M207" s="78"/>
      <c r="N207" s="78"/>
      <c r="O207" s="78"/>
    </row>
    <row r="208" spans="1:15" ht="54.75" customHeight="1">
      <c r="A208" s="27">
        <v>200</v>
      </c>
      <c r="B208" s="52" t="s">
        <v>246</v>
      </c>
      <c r="C208" s="27">
        <v>901</v>
      </c>
      <c r="D208" s="15">
        <v>501</v>
      </c>
      <c r="E208" s="12" t="s">
        <v>248</v>
      </c>
      <c r="F208" s="12"/>
      <c r="G208" s="37"/>
      <c r="H208" s="37"/>
      <c r="I208" s="38">
        <f t="shared" ref="I208:L209" si="15">SUM(I209)</f>
        <v>73</v>
      </c>
      <c r="J208" s="38">
        <f t="shared" si="15"/>
        <v>73</v>
      </c>
      <c r="K208" s="38">
        <f t="shared" si="15"/>
        <v>0</v>
      </c>
      <c r="L208" s="38">
        <f t="shared" si="15"/>
        <v>0</v>
      </c>
      <c r="M208" s="78"/>
      <c r="N208" s="78"/>
      <c r="O208" s="78"/>
    </row>
    <row r="209" spans="1:15" ht="29.25" customHeight="1">
      <c r="A209" s="27">
        <v>201</v>
      </c>
      <c r="B209" s="44" t="s">
        <v>247</v>
      </c>
      <c r="C209" s="27">
        <v>901</v>
      </c>
      <c r="D209" s="15">
        <v>501</v>
      </c>
      <c r="E209" s="12" t="s">
        <v>249</v>
      </c>
      <c r="F209" s="12"/>
      <c r="G209" s="37"/>
      <c r="H209" s="37"/>
      <c r="I209" s="38">
        <f t="shared" si="15"/>
        <v>73</v>
      </c>
      <c r="J209" s="38">
        <f t="shared" si="15"/>
        <v>73</v>
      </c>
      <c r="K209" s="38">
        <f t="shared" si="15"/>
        <v>0</v>
      </c>
      <c r="L209" s="38">
        <f t="shared" si="15"/>
        <v>0</v>
      </c>
      <c r="M209" s="78"/>
      <c r="N209" s="78"/>
      <c r="O209" s="78"/>
    </row>
    <row r="210" spans="1:15" ht="29.25" customHeight="1">
      <c r="A210" s="27">
        <v>202</v>
      </c>
      <c r="B210" s="13" t="s">
        <v>196</v>
      </c>
      <c r="C210" s="29">
        <v>901</v>
      </c>
      <c r="D210" s="16">
        <v>501</v>
      </c>
      <c r="E210" s="17" t="s">
        <v>249</v>
      </c>
      <c r="F210" s="17" t="s">
        <v>67</v>
      </c>
      <c r="G210" s="37"/>
      <c r="H210" s="37"/>
      <c r="I210" s="39">
        <v>73</v>
      </c>
      <c r="J210" s="39">
        <v>73</v>
      </c>
      <c r="K210" s="39">
        <v>0</v>
      </c>
      <c r="L210" s="39">
        <v>0</v>
      </c>
      <c r="M210" s="78"/>
      <c r="N210" s="78"/>
      <c r="O210" s="78"/>
    </row>
    <row r="211" spans="1:15" ht="20.25" customHeight="1">
      <c r="A211" s="27">
        <v>203</v>
      </c>
      <c r="B211" s="14" t="s">
        <v>15</v>
      </c>
      <c r="C211" s="27">
        <v>901</v>
      </c>
      <c r="D211" s="15">
        <v>502</v>
      </c>
      <c r="E211" s="12"/>
      <c r="F211" s="17"/>
      <c r="G211" s="37"/>
      <c r="H211" s="37"/>
      <c r="I211" s="38">
        <f>SUM(I212)</f>
        <v>15165</v>
      </c>
      <c r="J211" s="38">
        <f>SUM(J212)</f>
        <v>9248.8320000000003</v>
      </c>
      <c r="K211" s="38">
        <f>SUM(K212)</f>
        <v>9081.619999999999</v>
      </c>
      <c r="L211" s="38">
        <f>K211/J211*100</f>
        <v>98.192074415450506</v>
      </c>
      <c r="M211" s="78"/>
      <c r="N211" s="78"/>
      <c r="O211" s="78"/>
    </row>
    <row r="212" spans="1:15" ht="45.75" customHeight="1">
      <c r="A212" s="27">
        <v>204</v>
      </c>
      <c r="B212" s="42" t="s">
        <v>335</v>
      </c>
      <c r="C212" s="27">
        <v>901</v>
      </c>
      <c r="D212" s="15">
        <v>502</v>
      </c>
      <c r="E212" s="12" t="s">
        <v>339</v>
      </c>
      <c r="F212" s="12"/>
      <c r="G212" s="37"/>
      <c r="H212" s="37"/>
      <c r="I212" s="38">
        <f>SUM(I213+I215+I217+I219+I221)</f>
        <v>15165</v>
      </c>
      <c r="J212" s="38">
        <f>SUM(J213+J215+J217+J219+J221)</f>
        <v>9248.8320000000003</v>
      </c>
      <c r="K212" s="38">
        <f>SUM(K213+K215+K217+K219+K221)</f>
        <v>9081.619999999999</v>
      </c>
      <c r="L212" s="38">
        <f>K212/J212*100</f>
        <v>98.192074415450506</v>
      </c>
      <c r="M212" s="78"/>
      <c r="N212" s="78"/>
      <c r="O212" s="78"/>
    </row>
    <row r="213" spans="1:15" ht="47.25" customHeight="1">
      <c r="A213" s="27">
        <v>205</v>
      </c>
      <c r="B213" s="42" t="s">
        <v>336</v>
      </c>
      <c r="C213" s="27">
        <v>901</v>
      </c>
      <c r="D213" s="15">
        <v>502</v>
      </c>
      <c r="E213" s="12" t="s">
        <v>340</v>
      </c>
      <c r="F213" s="12"/>
      <c r="G213" s="37"/>
      <c r="H213" s="37"/>
      <c r="I213" s="38">
        <f>SUM(I214)</f>
        <v>50</v>
      </c>
      <c r="J213" s="38">
        <f>SUM(J214)</f>
        <v>0</v>
      </c>
      <c r="K213" s="38">
        <f>SUM(K214)</f>
        <v>0</v>
      </c>
      <c r="L213" s="38">
        <f>SUM(L214)</f>
        <v>0</v>
      </c>
      <c r="M213" s="78"/>
      <c r="N213" s="78"/>
      <c r="O213" s="78"/>
    </row>
    <row r="214" spans="1:15" ht="31.5" customHeight="1">
      <c r="A214" s="27">
        <v>206</v>
      </c>
      <c r="B214" s="13" t="s">
        <v>196</v>
      </c>
      <c r="C214" s="29">
        <v>901</v>
      </c>
      <c r="D214" s="16">
        <v>502</v>
      </c>
      <c r="E214" s="17" t="s">
        <v>340</v>
      </c>
      <c r="F214" s="17" t="s">
        <v>67</v>
      </c>
      <c r="G214" s="37"/>
      <c r="H214" s="37"/>
      <c r="I214" s="39">
        <v>50</v>
      </c>
      <c r="J214" s="39">
        <f>50-50</f>
        <v>0</v>
      </c>
      <c r="K214" s="39">
        <f>50-50</f>
        <v>0</v>
      </c>
      <c r="L214" s="39">
        <f>50-50</f>
        <v>0</v>
      </c>
      <c r="M214" s="78"/>
      <c r="N214" s="78"/>
      <c r="O214" s="78"/>
    </row>
    <row r="215" spans="1:15" ht="66.75" customHeight="1">
      <c r="A215" s="27">
        <v>207</v>
      </c>
      <c r="B215" s="42" t="s">
        <v>337</v>
      </c>
      <c r="C215" s="27">
        <v>901</v>
      </c>
      <c r="D215" s="15">
        <v>502</v>
      </c>
      <c r="E215" s="12" t="s">
        <v>341</v>
      </c>
      <c r="F215" s="12"/>
      <c r="G215" s="40"/>
      <c r="H215" s="40"/>
      <c r="I215" s="38">
        <f>SUM(I216)</f>
        <v>14115</v>
      </c>
      <c r="J215" s="38">
        <f>SUM(J216)</f>
        <v>5386.0120000000006</v>
      </c>
      <c r="K215" s="38">
        <f>SUM(K216)</f>
        <v>5218.8</v>
      </c>
      <c r="L215" s="38">
        <f>SUM(L216)</f>
        <v>96.895439520001062</v>
      </c>
      <c r="M215" s="78"/>
      <c r="N215" s="78"/>
      <c r="O215" s="78"/>
    </row>
    <row r="216" spans="1:15" ht="31.5" customHeight="1">
      <c r="A216" s="27">
        <v>208</v>
      </c>
      <c r="B216" s="13" t="s">
        <v>196</v>
      </c>
      <c r="C216" s="29">
        <v>901</v>
      </c>
      <c r="D216" s="16">
        <v>502</v>
      </c>
      <c r="E216" s="17" t="s">
        <v>341</v>
      </c>
      <c r="F216" s="17" t="s">
        <v>67</v>
      </c>
      <c r="G216" s="37"/>
      <c r="H216" s="37"/>
      <c r="I216" s="39">
        <f>14115</f>
        <v>14115</v>
      </c>
      <c r="J216" s="39">
        <f>14115-6209.005-67.65-1020-18-1414.333</f>
        <v>5386.0120000000006</v>
      </c>
      <c r="K216" s="39">
        <v>5218.8</v>
      </c>
      <c r="L216" s="39">
        <f>K216/J216*100</f>
        <v>96.895439520001062</v>
      </c>
      <c r="M216" s="78"/>
      <c r="N216" s="78"/>
      <c r="O216" s="78"/>
    </row>
    <row r="217" spans="1:15" ht="56.25" customHeight="1">
      <c r="A217" s="27">
        <v>209</v>
      </c>
      <c r="B217" s="92" t="s">
        <v>454</v>
      </c>
      <c r="C217" s="80">
        <v>901</v>
      </c>
      <c r="D217" s="81">
        <v>502</v>
      </c>
      <c r="E217" s="82" t="s">
        <v>455</v>
      </c>
      <c r="F217" s="82"/>
      <c r="G217" s="83"/>
      <c r="H217" s="83"/>
      <c r="I217" s="84">
        <f>SUM(I218)</f>
        <v>0</v>
      </c>
      <c r="J217" s="84">
        <f>SUM(J218)</f>
        <v>0</v>
      </c>
      <c r="K217" s="84">
        <f>SUM(K218)</f>
        <v>0</v>
      </c>
      <c r="L217" s="84">
        <f>SUM(L218)</f>
        <v>0</v>
      </c>
      <c r="M217" s="78"/>
      <c r="N217" s="78"/>
      <c r="O217" s="78"/>
    </row>
    <row r="218" spans="1:15" ht="31.5" customHeight="1">
      <c r="A218" s="27">
        <v>210</v>
      </c>
      <c r="B218" s="85" t="s">
        <v>196</v>
      </c>
      <c r="C218" s="86">
        <v>901</v>
      </c>
      <c r="D218" s="87">
        <v>502</v>
      </c>
      <c r="E218" s="88" t="s">
        <v>455</v>
      </c>
      <c r="F218" s="88" t="s">
        <v>67</v>
      </c>
      <c r="G218" s="89"/>
      <c r="H218" s="89"/>
      <c r="I218" s="90">
        <f>1206.184-1206.184</f>
        <v>0</v>
      </c>
      <c r="J218" s="90">
        <f>1206.184-1206.184</f>
        <v>0</v>
      </c>
      <c r="K218" s="90">
        <f>1206.184-1206.184</f>
        <v>0</v>
      </c>
      <c r="L218" s="90">
        <f>1206.184-1206.184</f>
        <v>0</v>
      </c>
      <c r="M218" s="78"/>
      <c r="N218" s="78"/>
      <c r="O218" s="78"/>
    </row>
    <row r="219" spans="1:15" ht="66.75" customHeight="1">
      <c r="A219" s="27">
        <v>211</v>
      </c>
      <c r="B219" s="42" t="s">
        <v>338</v>
      </c>
      <c r="C219" s="27">
        <v>901</v>
      </c>
      <c r="D219" s="15">
        <v>502</v>
      </c>
      <c r="E219" s="12" t="s">
        <v>342</v>
      </c>
      <c r="F219" s="12"/>
      <c r="G219" s="37"/>
      <c r="H219" s="37"/>
      <c r="I219" s="38">
        <f>SUM(I220:I220)</f>
        <v>1000</v>
      </c>
      <c r="J219" s="38">
        <f>SUM(J220:J220)</f>
        <v>2862.8199999999997</v>
      </c>
      <c r="K219" s="38">
        <f>SUM(K220:K220)</f>
        <v>2862.8199999999997</v>
      </c>
      <c r="L219" s="38">
        <f>SUM(L220:L220)</f>
        <v>100</v>
      </c>
      <c r="M219" s="78"/>
      <c r="N219" s="78"/>
      <c r="O219" s="78"/>
    </row>
    <row r="220" spans="1:15" ht="44.25" customHeight="1">
      <c r="A220" s="27">
        <v>212</v>
      </c>
      <c r="B220" s="13" t="s">
        <v>198</v>
      </c>
      <c r="C220" s="29">
        <v>901</v>
      </c>
      <c r="D220" s="16">
        <v>502</v>
      </c>
      <c r="E220" s="17" t="s">
        <v>342</v>
      </c>
      <c r="F220" s="17" t="s">
        <v>47</v>
      </c>
      <c r="G220" s="37"/>
      <c r="H220" s="37"/>
      <c r="I220" s="39">
        <f>1000</f>
        <v>1000</v>
      </c>
      <c r="J220" s="39">
        <f>1000+1862.82</f>
        <v>2862.8199999999997</v>
      </c>
      <c r="K220" s="39">
        <f>1000+1862.82</f>
        <v>2862.8199999999997</v>
      </c>
      <c r="L220" s="39">
        <f>K220/J220*100</f>
        <v>100</v>
      </c>
      <c r="M220" s="78"/>
      <c r="N220" s="78"/>
      <c r="O220" s="78"/>
    </row>
    <row r="221" spans="1:15" ht="50.25" customHeight="1">
      <c r="A221" s="27">
        <v>213</v>
      </c>
      <c r="B221" s="92" t="s">
        <v>444</v>
      </c>
      <c r="C221" s="80">
        <v>901</v>
      </c>
      <c r="D221" s="81">
        <v>502</v>
      </c>
      <c r="E221" s="82" t="s">
        <v>445</v>
      </c>
      <c r="F221" s="82"/>
      <c r="G221" s="83"/>
      <c r="H221" s="83"/>
      <c r="I221" s="84">
        <f>SUM(I222)</f>
        <v>0</v>
      </c>
      <c r="J221" s="84">
        <f>SUM(J222)</f>
        <v>1000</v>
      </c>
      <c r="K221" s="84">
        <f>SUM(K222)</f>
        <v>1000</v>
      </c>
      <c r="L221" s="84">
        <f>SUM(L222)</f>
        <v>100</v>
      </c>
      <c r="M221" s="78"/>
      <c r="N221" s="78"/>
      <c r="O221" s="78"/>
    </row>
    <row r="222" spans="1:15" ht="44.25" customHeight="1">
      <c r="A222" s="27">
        <v>214</v>
      </c>
      <c r="B222" s="85" t="s">
        <v>198</v>
      </c>
      <c r="C222" s="86">
        <v>901</v>
      </c>
      <c r="D222" s="87">
        <v>502</v>
      </c>
      <c r="E222" s="88" t="s">
        <v>445</v>
      </c>
      <c r="F222" s="88" t="s">
        <v>47</v>
      </c>
      <c r="G222" s="89"/>
      <c r="H222" s="89"/>
      <c r="I222" s="90">
        <v>0</v>
      </c>
      <c r="J222" s="90">
        <v>1000</v>
      </c>
      <c r="K222" s="90">
        <v>1000</v>
      </c>
      <c r="L222" s="90">
        <f>K222/J222*100</f>
        <v>100</v>
      </c>
      <c r="M222" s="78"/>
      <c r="N222" s="78"/>
      <c r="O222" s="78"/>
    </row>
    <row r="223" spans="1:15" ht="27.75" customHeight="1">
      <c r="A223" s="27">
        <v>215</v>
      </c>
      <c r="B223" s="14" t="s">
        <v>16</v>
      </c>
      <c r="C223" s="27">
        <v>901</v>
      </c>
      <c r="D223" s="15">
        <v>503</v>
      </c>
      <c r="E223" s="12"/>
      <c r="F223" s="17"/>
      <c r="G223" s="37"/>
      <c r="H223" s="37"/>
      <c r="I223" s="38">
        <f>SUM(I224+I233)</f>
        <v>8750.0499999999993</v>
      </c>
      <c r="J223" s="38">
        <f>SUM(J224+J233)</f>
        <v>9646.3429899999992</v>
      </c>
      <c r="K223" s="38">
        <f>SUM(K224+K233)</f>
        <v>9580.2000000000007</v>
      </c>
      <c r="L223" s="38">
        <f>K223/J223*100</f>
        <v>99.314320566161015</v>
      </c>
      <c r="M223" s="78"/>
      <c r="N223" s="78"/>
      <c r="O223" s="78"/>
    </row>
    <row r="224" spans="1:15" ht="45" customHeight="1">
      <c r="A224" s="27">
        <v>216</v>
      </c>
      <c r="B224" s="42" t="s">
        <v>292</v>
      </c>
      <c r="C224" s="27">
        <v>901</v>
      </c>
      <c r="D224" s="15">
        <v>503</v>
      </c>
      <c r="E224" s="12" t="s">
        <v>160</v>
      </c>
      <c r="F224" s="17"/>
      <c r="G224" s="37"/>
      <c r="H224" s="37"/>
      <c r="I224" s="38">
        <f>SUM(I225+I227+I229+I231)</f>
        <v>7480.0499999999993</v>
      </c>
      <c r="J224" s="38">
        <f>SUM(J225+J227+J229+J231)</f>
        <v>9646.3429899999992</v>
      </c>
      <c r="K224" s="38">
        <f>SUM(K225+K227+K229+K231)</f>
        <v>9580.2000000000007</v>
      </c>
      <c r="L224" s="38">
        <f>K224/J224*100</f>
        <v>99.314320566161015</v>
      </c>
      <c r="M224" s="78"/>
      <c r="N224" s="78"/>
      <c r="O224" s="78"/>
    </row>
    <row r="225" spans="1:15" ht="21.75" customHeight="1">
      <c r="A225" s="27">
        <v>217</v>
      </c>
      <c r="B225" s="14" t="s">
        <v>250</v>
      </c>
      <c r="C225" s="27">
        <v>901</v>
      </c>
      <c r="D225" s="15">
        <v>503</v>
      </c>
      <c r="E225" s="12" t="s">
        <v>344</v>
      </c>
      <c r="F225" s="12"/>
      <c r="G225" s="37"/>
      <c r="H225" s="37"/>
      <c r="I225" s="38">
        <f>I226</f>
        <v>4674.3999999999996</v>
      </c>
      <c r="J225" s="38">
        <f>J226</f>
        <v>4750.5459899999996</v>
      </c>
      <c r="K225" s="38">
        <f>K226</f>
        <v>4688.1000000000004</v>
      </c>
      <c r="L225" s="38">
        <f>L226</f>
        <v>98.685498674648159</v>
      </c>
      <c r="M225" s="78"/>
      <c r="N225" s="78"/>
      <c r="O225" s="78"/>
    </row>
    <row r="226" spans="1:15" ht="28.5" customHeight="1">
      <c r="A226" s="27">
        <v>218</v>
      </c>
      <c r="B226" s="13" t="s">
        <v>196</v>
      </c>
      <c r="C226" s="29">
        <v>901</v>
      </c>
      <c r="D226" s="16">
        <v>503</v>
      </c>
      <c r="E226" s="17" t="s">
        <v>344</v>
      </c>
      <c r="F226" s="17" t="s">
        <v>67</v>
      </c>
      <c r="G226" s="37"/>
      <c r="H226" s="37"/>
      <c r="I226" s="39">
        <f>4674.4</f>
        <v>4674.3999999999996</v>
      </c>
      <c r="J226" s="39">
        <f>4674.4+30-104.866-40.512+24.512+13.4+54+40+0.06599-2.354+8.7+39.1-13.9+28</f>
        <v>4750.5459899999996</v>
      </c>
      <c r="K226" s="39">
        <v>4688.1000000000004</v>
      </c>
      <c r="L226" s="39">
        <f>K226/J226*100</f>
        <v>98.685498674648159</v>
      </c>
      <c r="M226" s="78"/>
      <c r="N226" s="78"/>
      <c r="O226" s="78"/>
    </row>
    <row r="227" spans="1:15" ht="28.5" customHeight="1">
      <c r="A227" s="27">
        <v>219</v>
      </c>
      <c r="B227" s="14" t="s">
        <v>17</v>
      </c>
      <c r="C227" s="27">
        <v>901</v>
      </c>
      <c r="D227" s="15">
        <v>503</v>
      </c>
      <c r="E227" s="12" t="s">
        <v>345</v>
      </c>
      <c r="F227" s="12"/>
      <c r="G227" s="40"/>
      <c r="H227" s="40"/>
      <c r="I227" s="38">
        <f>SUM(I228)</f>
        <v>451</v>
      </c>
      <c r="J227" s="38">
        <f>SUM(J228)</f>
        <v>450.96300000000002</v>
      </c>
      <c r="K227" s="38">
        <f>SUM(K228)</f>
        <v>450.9</v>
      </c>
      <c r="L227" s="38">
        <f>SUM(L228)</f>
        <v>99.986029896022501</v>
      </c>
      <c r="M227" s="78"/>
      <c r="N227" s="78"/>
      <c r="O227" s="78"/>
    </row>
    <row r="228" spans="1:15" ht="28.5" customHeight="1">
      <c r="A228" s="27">
        <v>220</v>
      </c>
      <c r="B228" s="13" t="s">
        <v>196</v>
      </c>
      <c r="C228" s="29">
        <v>901</v>
      </c>
      <c r="D228" s="16">
        <v>503</v>
      </c>
      <c r="E228" s="17" t="s">
        <v>345</v>
      </c>
      <c r="F228" s="17" t="s">
        <v>67</v>
      </c>
      <c r="G228" s="37"/>
      <c r="H228" s="37"/>
      <c r="I228" s="39">
        <f>451</f>
        <v>451</v>
      </c>
      <c r="J228" s="39">
        <f>451-0.037</f>
        <v>450.96300000000002</v>
      </c>
      <c r="K228" s="39">
        <v>450.9</v>
      </c>
      <c r="L228" s="39">
        <f>K228/J228*100</f>
        <v>99.986029896022501</v>
      </c>
      <c r="M228" s="78"/>
      <c r="N228" s="78"/>
      <c r="O228" s="78"/>
    </row>
    <row r="229" spans="1:15" ht="69" customHeight="1">
      <c r="A229" s="27">
        <v>221</v>
      </c>
      <c r="B229" s="14" t="s">
        <v>343</v>
      </c>
      <c r="C229" s="27">
        <v>901</v>
      </c>
      <c r="D229" s="15">
        <v>503</v>
      </c>
      <c r="E229" s="12" t="s">
        <v>346</v>
      </c>
      <c r="F229" s="12"/>
      <c r="G229" s="37"/>
      <c r="H229" s="37"/>
      <c r="I229" s="38">
        <f>I230</f>
        <v>2354.65</v>
      </c>
      <c r="J229" s="38">
        <f>J230</f>
        <v>2702.7620000000002</v>
      </c>
      <c r="K229" s="38">
        <f>K230</f>
        <v>2702.6</v>
      </c>
      <c r="L229" s="38">
        <f>L230</f>
        <v>99.994006131505458</v>
      </c>
      <c r="M229" s="78"/>
      <c r="N229" s="78"/>
      <c r="O229" s="78"/>
    </row>
    <row r="230" spans="1:15" ht="30" customHeight="1">
      <c r="A230" s="27">
        <v>222</v>
      </c>
      <c r="B230" s="13" t="s">
        <v>196</v>
      </c>
      <c r="C230" s="29">
        <v>901</v>
      </c>
      <c r="D230" s="16">
        <v>503</v>
      </c>
      <c r="E230" s="17" t="s">
        <v>346</v>
      </c>
      <c r="F230" s="17" t="s">
        <v>67</v>
      </c>
      <c r="G230" s="37"/>
      <c r="H230" s="37"/>
      <c r="I230" s="39">
        <f>1100+1254.65</f>
        <v>2354.65</v>
      </c>
      <c r="J230" s="39">
        <f>1100+1254.65+85+85+104.866-0.275+86.022+16-0.219-3.167-25.115</f>
        <v>2702.7620000000002</v>
      </c>
      <c r="K230" s="39">
        <v>2702.6</v>
      </c>
      <c r="L230" s="39">
        <f>K230/J230*100</f>
        <v>99.994006131505458</v>
      </c>
      <c r="M230" s="78"/>
      <c r="N230" s="78"/>
      <c r="O230" s="78"/>
    </row>
    <row r="231" spans="1:15" ht="66.75" customHeight="1">
      <c r="A231" s="27">
        <v>223</v>
      </c>
      <c r="B231" s="79" t="s">
        <v>446</v>
      </c>
      <c r="C231" s="80">
        <v>901</v>
      </c>
      <c r="D231" s="81">
        <v>503</v>
      </c>
      <c r="E231" s="82" t="s">
        <v>447</v>
      </c>
      <c r="F231" s="82"/>
      <c r="G231" s="83"/>
      <c r="H231" s="83"/>
      <c r="I231" s="84">
        <f>SUM(I232)</f>
        <v>0</v>
      </c>
      <c r="J231" s="84">
        <f>SUM(J232)</f>
        <v>1742.0720000000001</v>
      </c>
      <c r="K231" s="84">
        <f>SUM(K232)</f>
        <v>1738.6</v>
      </c>
      <c r="L231" s="84">
        <f>SUM(L232)</f>
        <v>99.800697100923486</v>
      </c>
      <c r="M231" s="78"/>
      <c r="N231" s="78"/>
      <c r="O231" s="78"/>
    </row>
    <row r="232" spans="1:15" ht="30" customHeight="1">
      <c r="A232" s="27">
        <v>224</v>
      </c>
      <c r="B232" s="85" t="s">
        <v>196</v>
      </c>
      <c r="C232" s="86">
        <v>901</v>
      </c>
      <c r="D232" s="87">
        <v>503</v>
      </c>
      <c r="E232" s="88" t="s">
        <v>447</v>
      </c>
      <c r="F232" s="88" t="s">
        <v>67</v>
      </c>
      <c r="G232" s="89"/>
      <c r="H232" s="89"/>
      <c r="I232" s="90">
        <v>0</v>
      </c>
      <c r="J232" s="90">
        <f>1500+385-138-83.906+78.978</f>
        <v>1742.0720000000001</v>
      </c>
      <c r="K232" s="90">
        <v>1738.6</v>
      </c>
      <c r="L232" s="90">
        <f>K232/J232*100</f>
        <v>99.800697100923486</v>
      </c>
      <c r="M232" s="78"/>
      <c r="N232" s="78"/>
      <c r="O232" s="78"/>
    </row>
    <row r="233" spans="1:15" ht="43.5" customHeight="1">
      <c r="A233" s="27">
        <v>225</v>
      </c>
      <c r="B233" s="14" t="s">
        <v>465</v>
      </c>
      <c r="C233" s="27">
        <v>901</v>
      </c>
      <c r="D233" s="15">
        <v>503</v>
      </c>
      <c r="E233" s="12" t="s">
        <v>264</v>
      </c>
      <c r="F233" s="12"/>
      <c r="G233" s="40"/>
      <c r="H233" s="40"/>
      <c r="I233" s="38">
        <f>SUM(I234+I236)</f>
        <v>1270</v>
      </c>
      <c r="J233" s="38">
        <f>SUM(J234+J236)</f>
        <v>0</v>
      </c>
      <c r="K233" s="38">
        <f>SUM(K234+K236)</f>
        <v>0</v>
      </c>
      <c r="L233" s="38">
        <f>SUM(L234+L236)</f>
        <v>0</v>
      </c>
      <c r="M233" s="78"/>
      <c r="N233" s="78"/>
      <c r="O233" s="78"/>
    </row>
    <row r="234" spans="1:15" ht="44.25" customHeight="1">
      <c r="A234" s="27">
        <v>226</v>
      </c>
      <c r="B234" s="52" t="s">
        <v>251</v>
      </c>
      <c r="C234" s="27">
        <v>901</v>
      </c>
      <c r="D234" s="15">
        <v>503</v>
      </c>
      <c r="E234" s="12" t="s">
        <v>253</v>
      </c>
      <c r="F234" s="12"/>
      <c r="G234" s="40"/>
      <c r="H234" s="40"/>
      <c r="I234" s="38">
        <f>SUM(I235)</f>
        <v>270</v>
      </c>
      <c r="J234" s="38">
        <f>SUM(J235)</f>
        <v>0</v>
      </c>
      <c r="K234" s="38">
        <f>SUM(K235)</f>
        <v>0</v>
      </c>
      <c r="L234" s="38">
        <f>SUM(L235)</f>
        <v>0</v>
      </c>
      <c r="M234" s="78"/>
      <c r="N234" s="78"/>
      <c r="O234" s="78"/>
    </row>
    <row r="235" spans="1:15" ht="30" customHeight="1">
      <c r="A235" s="27">
        <v>227</v>
      </c>
      <c r="B235" s="13" t="s">
        <v>196</v>
      </c>
      <c r="C235" s="29">
        <v>901</v>
      </c>
      <c r="D235" s="16">
        <v>503</v>
      </c>
      <c r="E235" s="17" t="s">
        <v>253</v>
      </c>
      <c r="F235" s="17" t="s">
        <v>67</v>
      </c>
      <c r="G235" s="37"/>
      <c r="H235" s="37"/>
      <c r="I235" s="39">
        <f>270</f>
        <v>270</v>
      </c>
      <c r="J235" s="39">
        <f>270-270</f>
        <v>0</v>
      </c>
      <c r="K235" s="39">
        <f>270-270</f>
        <v>0</v>
      </c>
      <c r="L235" s="39">
        <f>270-270</f>
        <v>0</v>
      </c>
      <c r="M235" s="78"/>
      <c r="N235" s="78"/>
      <c r="O235" s="78"/>
    </row>
    <row r="236" spans="1:15" ht="30" customHeight="1">
      <c r="A236" s="27">
        <v>228</v>
      </c>
      <c r="B236" s="14" t="s">
        <v>252</v>
      </c>
      <c r="C236" s="27">
        <v>901</v>
      </c>
      <c r="D236" s="15">
        <v>503</v>
      </c>
      <c r="E236" s="12" t="s">
        <v>254</v>
      </c>
      <c r="F236" s="12"/>
      <c r="G236" s="40"/>
      <c r="H236" s="40"/>
      <c r="I236" s="38">
        <f>SUM(I237)</f>
        <v>1000</v>
      </c>
      <c r="J236" s="38">
        <f>SUM(J237)</f>
        <v>0</v>
      </c>
      <c r="K236" s="38">
        <f>SUM(K237)</f>
        <v>0</v>
      </c>
      <c r="L236" s="38">
        <f>SUM(L237)</f>
        <v>0</v>
      </c>
      <c r="M236" s="78"/>
      <c r="N236" s="78"/>
      <c r="O236" s="78"/>
    </row>
    <row r="237" spans="1:15" ht="30" customHeight="1">
      <c r="A237" s="27">
        <v>229</v>
      </c>
      <c r="B237" s="13" t="s">
        <v>196</v>
      </c>
      <c r="C237" s="29">
        <v>901</v>
      </c>
      <c r="D237" s="16">
        <v>503</v>
      </c>
      <c r="E237" s="17" t="s">
        <v>254</v>
      </c>
      <c r="F237" s="17" t="s">
        <v>67</v>
      </c>
      <c r="G237" s="37"/>
      <c r="H237" s="37"/>
      <c r="I237" s="39">
        <f>1000</f>
        <v>1000</v>
      </c>
      <c r="J237" s="39">
        <f>1000-1000</f>
        <v>0</v>
      </c>
      <c r="K237" s="39">
        <f>1000-1000</f>
        <v>0</v>
      </c>
      <c r="L237" s="39">
        <f>1000-1000</f>
        <v>0</v>
      </c>
      <c r="M237" s="78"/>
      <c r="N237" s="78"/>
      <c r="O237" s="78"/>
    </row>
    <row r="238" spans="1:15" ht="22.5" customHeight="1">
      <c r="A238" s="27">
        <v>230</v>
      </c>
      <c r="B238" s="14" t="s">
        <v>61</v>
      </c>
      <c r="C238" s="27">
        <v>901</v>
      </c>
      <c r="D238" s="15">
        <v>505</v>
      </c>
      <c r="E238" s="12"/>
      <c r="F238" s="17"/>
      <c r="G238" s="37"/>
      <c r="H238" s="37"/>
      <c r="I238" s="38">
        <f>SUM(I239+I244)</f>
        <v>25483.359</v>
      </c>
      <c r="J238" s="38">
        <f>SUM(J239+J244)</f>
        <v>25244.359</v>
      </c>
      <c r="K238" s="38">
        <f>SUM(K239+K244)</f>
        <v>21551.8</v>
      </c>
      <c r="L238" s="38">
        <f>K238/J238*100</f>
        <v>85.372736142755684</v>
      </c>
      <c r="M238" s="78"/>
      <c r="N238" s="78"/>
      <c r="O238" s="78"/>
    </row>
    <row r="239" spans="1:15" ht="49.5" customHeight="1">
      <c r="A239" s="27">
        <v>231</v>
      </c>
      <c r="B239" s="42" t="s">
        <v>292</v>
      </c>
      <c r="C239" s="27">
        <v>901</v>
      </c>
      <c r="D239" s="15">
        <v>505</v>
      </c>
      <c r="E239" s="12" t="s">
        <v>160</v>
      </c>
      <c r="F239" s="17"/>
      <c r="G239" s="37"/>
      <c r="H239" s="37"/>
      <c r="I239" s="38">
        <f>SUM(I240+I242)</f>
        <v>24170.359</v>
      </c>
      <c r="J239" s="38">
        <f>SUM(J240+J242)</f>
        <v>25244.359</v>
      </c>
      <c r="K239" s="38">
        <f>SUM(K240+K242)</f>
        <v>21551.8</v>
      </c>
      <c r="L239" s="38">
        <f>SUM(L240+L242)</f>
        <v>85.372736142755684</v>
      </c>
      <c r="M239" s="78"/>
      <c r="N239" s="78"/>
      <c r="O239" s="78"/>
    </row>
    <row r="240" spans="1:15" ht="44.25" customHeight="1">
      <c r="A240" s="27">
        <v>232</v>
      </c>
      <c r="B240" s="42" t="s">
        <v>347</v>
      </c>
      <c r="C240" s="27">
        <v>901</v>
      </c>
      <c r="D240" s="15">
        <v>505</v>
      </c>
      <c r="E240" s="12" t="s">
        <v>348</v>
      </c>
      <c r="F240" s="12"/>
      <c r="G240" s="37"/>
      <c r="H240" s="37"/>
      <c r="I240" s="38">
        <f>SUM(I241:I241)</f>
        <v>24154.359</v>
      </c>
      <c r="J240" s="38">
        <f>SUM(J241:J241)</f>
        <v>25244.359</v>
      </c>
      <c r="K240" s="38">
        <f>SUM(K241:K241)</f>
        <v>21551.8</v>
      </c>
      <c r="L240" s="38">
        <f>SUM(L241:L241)</f>
        <v>85.372736142755684</v>
      </c>
      <c r="M240" s="78"/>
      <c r="N240" s="78"/>
      <c r="O240" s="78"/>
    </row>
    <row r="241" spans="1:15" ht="28.5" customHeight="1">
      <c r="A241" s="27">
        <v>233</v>
      </c>
      <c r="B241" s="13" t="s">
        <v>196</v>
      </c>
      <c r="C241" s="29">
        <v>901</v>
      </c>
      <c r="D241" s="16">
        <v>505</v>
      </c>
      <c r="E241" s="17" t="s">
        <v>348</v>
      </c>
      <c r="F241" s="17" t="s">
        <v>67</v>
      </c>
      <c r="G241" s="37"/>
      <c r="H241" s="37"/>
      <c r="I241" s="39">
        <f>17725+6429.359</f>
        <v>24154.359</v>
      </c>
      <c r="J241" s="39">
        <f>17725+6429.359+1090</f>
        <v>25244.359</v>
      </c>
      <c r="K241" s="39">
        <v>21551.8</v>
      </c>
      <c r="L241" s="39">
        <f>K241/J241*100</f>
        <v>85.372736142755684</v>
      </c>
      <c r="M241" s="78"/>
      <c r="N241" s="78"/>
      <c r="O241" s="78"/>
    </row>
    <row r="242" spans="1:15" ht="56.25" customHeight="1">
      <c r="A242" s="27">
        <v>234</v>
      </c>
      <c r="B242" s="44" t="s">
        <v>111</v>
      </c>
      <c r="C242" s="27">
        <v>901</v>
      </c>
      <c r="D242" s="15">
        <v>505</v>
      </c>
      <c r="E242" s="12" t="s">
        <v>349</v>
      </c>
      <c r="F242" s="12"/>
      <c r="G242" s="37"/>
      <c r="H242" s="37"/>
      <c r="I242" s="38">
        <f>I243</f>
        <v>16</v>
      </c>
      <c r="J242" s="38">
        <f>J243</f>
        <v>0</v>
      </c>
      <c r="K242" s="38">
        <f>K243</f>
        <v>0</v>
      </c>
      <c r="L242" s="38">
        <f>L243</f>
        <v>0</v>
      </c>
      <c r="M242" s="78"/>
      <c r="N242" s="78"/>
      <c r="O242" s="78"/>
    </row>
    <row r="243" spans="1:15" ht="41.25" customHeight="1">
      <c r="A243" s="27">
        <v>235</v>
      </c>
      <c r="B243" s="13" t="s">
        <v>198</v>
      </c>
      <c r="C243" s="29">
        <v>901</v>
      </c>
      <c r="D243" s="16">
        <v>505</v>
      </c>
      <c r="E243" s="17" t="s">
        <v>349</v>
      </c>
      <c r="F243" s="17" t="s">
        <v>47</v>
      </c>
      <c r="G243" s="37"/>
      <c r="H243" s="37"/>
      <c r="I243" s="39">
        <f>16</f>
        <v>16</v>
      </c>
      <c r="J243" s="39">
        <f>16-16</f>
        <v>0</v>
      </c>
      <c r="K243" s="39">
        <f>16-16</f>
        <v>0</v>
      </c>
      <c r="L243" s="39">
        <f>16-16</f>
        <v>0</v>
      </c>
      <c r="M243" s="78"/>
      <c r="N243" s="78"/>
      <c r="O243" s="78"/>
    </row>
    <row r="244" spans="1:15" ht="44.25" customHeight="1">
      <c r="A244" s="27">
        <v>236</v>
      </c>
      <c r="B244" s="14" t="s">
        <v>350</v>
      </c>
      <c r="C244" s="27">
        <v>901</v>
      </c>
      <c r="D244" s="15">
        <v>505</v>
      </c>
      <c r="E244" s="12" t="s">
        <v>178</v>
      </c>
      <c r="F244" s="12"/>
      <c r="G244" s="37"/>
      <c r="H244" s="37"/>
      <c r="I244" s="38">
        <f>I245</f>
        <v>1313</v>
      </c>
      <c r="J244" s="38">
        <f>J245</f>
        <v>0</v>
      </c>
      <c r="K244" s="38">
        <f>K245</f>
        <v>0</v>
      </c>
      <c r="L244" s="38">
        <f>L245</f>
        <v>0</v>
      </c>
      <c r="M244" s="78"/>
      <c r="N244" s="78"/>
      <c r="O244" s="78"/>
    </row>
    <row r="245" spans="1:15" ht="42.75" customHeight="1">
      <c r="A245" s="27">
        <v>237</v>
      </c>
      <c r="B245" s="42" t="s">
        <v>80</v>
      </c>
      <c r="C245" s="27">
        <v>901</v>
      </c>
      <c r="D245" s="15">
        <v>505</v>
      </c>
      <c r="E245" s="12" t="s">
        <v>351</v>
      </c>
      <c r="F245" s="12"/>
      <c r="G245" s="37"/>
      <c r="H245" s="37"/>
      <c r="I245" s="38">
        <f>SUM(I246:I247)</f>
        <v>1313</v>
      </c>
      <c r="J245" s="38">
        <f>SUM(J246:J247)</f>
        <v>0</v>
      </c>
      <c r="K245" s="38">
        <f>SUM(K246:K247)</f>
        <v>0</v>
      </c>
      <c r="L245" s="38">
        <f>SUM(L246:L247)</f>
        <v>0</v>
      </c>
      <c r="M245" s="78"/>
      <c r="N245" s="78"/>
      <c r="O245" s="78"/>
    </row>
    <row r="246" spans="1:15" ht="30" customHeight="1">
      <c r="A246" s="27">
        <v>238</v>
      </c>
      <c r="B246" s="13" t="s">
        <v>196</v>
      </c>
      <c r="C246" s="29">
        <v>901</v>
      </c>
      <c r="D246" s="16">
        <v>505</v>
      </c>
      <c r="E246" s="17" t="s">
        <v>351</v>
      </c>
      <c r="F246" s="17" t="s">
        <v>67</v>
      </c>
      <c r="G246" s="37"/>
      <c r="H246" s="37"/>
      <c r="I246" s="39">
        <v>393.5</v>
      </c>
      <c r="J246" s="39">
        <v>0</v>
      </c>
      <c r="K246" s="39">
        <v>0</v>
      </c>
      <c r="L246" s="39">
        <v>0</v>
      </c>
      <c r="M246" s="78"/>
      <c r="N246" s="78"/>
      <c r="O246" s="78"/>
    </row>
    <row r="247" spans="1:15" ht="20.25" customHeight="1">
      <c r="A247" s="27">
        <v>239</v>
      </c>
      <c r="B247" s="13" t="s">
        <v>219</v>
      </c>
      <c r="C247" s="29">
        <v>901</v>
      </c>
      <c r="D247" s="16">
        <v>505</v>
      </c>
      <c r="E247" s="17" t="s">
        <v>351</v>
      </c>
      <c r="F247" s="17" t="s">
        <v>218</v>
      </c>
      <c r="G247" s="37"/>
      <c r="H247" s="37"/>
      <c r="I247" s="39">
        <v>919.5</v>
      </c>
      <c r="J247" s="39">
        <v>0</v>
      </c>
      <c r="K247" s="39">
        <v>0</v>
      </c>
      <c r="L247" s="39">
        <v>0</v>
      </c>
      <c r="M247" s="78"/>
      <c r="N247" s="78"/>
      <c r="O247" s="78"/>
    </row>
    <row r="248" spans="1:15" ht="20.25" customHeight="1">
      <c r="A248" s="27">
        <v>240</v>
      </c>
      <c r="B248" s="14" t="s">
        <v>18</v>
      </c>
      <c r="C248" s="27">
        <v>901</v>
      </c>
      <c r="D248" s="15">
        <v>600</v>
      </c>
      <c r="E248" s="12"/>
      <c r="F248" s="17"/>
      <c r="G248" s="37"/>
      <c r="H248" s="37"/>
      <c r="I248" s="38">
        <f>I249</f>
        <v>274.10000000000002</v>
      </c>
      <c r="J248" s="38">
        <f>J249</f>
        <v>230.05301000000003</v>
      </c>
      <c r="K248" s="38">
        <f>K249</f>
        <v>229.9</v>
      </c>
      <c r="L248" s="38">
        <f>L249</f>
        <v>99.933489242327227</v>
      </c>
      <c r="M248" s="78"/>
      <c r="N248" s="78"/>
      <c r="O248" s="78"/>
    </row>
    <row r="249" spans="1:15" ht="25.5" customHeight="1">
      <c r="A249" s="27">
        <v>241</v>
      </c>
      <c r="B249" s="14" t="s">
        <v>19</v>
      </c>
      <c r="C249" s="27">
        <v>901</v>
      </c>
      <c r="D249" s="15">
        <v>603</v>
      </c>
      <c r="E249" s="12"/>
      <c r="F249" s="17"/>
      <c r="G249" s="37"/>
      <c r="H249" s="37"/>
      <c r="I249" s="38">
        <f t="shared" ref="I249:L250" si="16">SUM(I250)</f>
        <v>274.10000000000002</v>
      </c>
      <c r="J249" s="38">
        <f t="shared" si="16"/>
        <v>230.05301000000003</v>
      </c>
      <c r="K249" s="38">
        <f t="shared" si="16"/>
        <v>229.9</v>
      </c>
      <c r="L249" s="38">
        <f t="shared" si="16"/>
        <v>99.933489242327227</v>
      </c>
      <c r="M249" s="78"/>
      <c r="N249" s="78"/>
      <c r="O249" s="78"/>
    </row>
    <row r="250" spans="1:15" ht="33" customHeight="1">
      <c r="A250" s="27">
        <v>242</v>
      </c>
      <c r="B250" s="14" t="s">
        <v>293</v>
      </c>
      <c r="C250" s="27">
        <v>901</v>
      </c>
      <c r="D250" s="15">
        <v>603</v>
      </c>
      <c r="E250" s="12" t="s">
        <v>163</v>
      </c>
      <c r="F250" s="17"/>
      <c r="G250" s="37"/>
      <c r="H250" s="37"/>
      <c r="I250" s="38">
        <f t="shared" si="16"/>
        <v>274.10000000000002</v>
      </c>
      <c r="J250" s="38">
        <f t="shared" si="16"/>
        <v>230.05301000000003</v>
      </c>
      <c r="K250" s="38">
        <f t="shared" si="16"/>
        <v>229.9</v>
      </c>
      <c r="L250" s="38">
        <f t="shared" si="16"/>
        <v>99.933489242327227</v>
      </c>
      <c r="M250" s="78"/>
      <c r="N250" s="78"/>
      <c r="O250" s="78"/>
    </row>
    <row r="251" spans="1:15" ht="46.5" customHeight="1">
      <c r="A251" s="27">
        <v>243</v>
      </c>
      <c r="B251" s="14" t="s">
        <v>81</v>
      </c>
      <c r="C251" s="27">
        <v>901</v>
      </c>
      <c r="D251" s="15">
        <v>603</v>
      </c>
      <c r="E251" s="12" t="s">
        <v>163</v>
      </c>
      <c r="F251" s="17"/>
      <c r="G251" s="37"/>
      <c r="H251" s="37"/>
      <c r="I251" s="38">
        <f>I252</f>
        <v>274.10000000000002</v>
      </c>
      <c r="J251" s="38">
        <f>J252</f>
        <v>230.05301000000003</v>
      </c>
      <c r="K251" s="38">
        <f>K252</f>
        <v>229.9</v>
      </c>
      <c r="L251" s="38">
        <f>L252</f>
        <v>99.933489242327227</v>
      </c>
      <c r="M251" s="78"/>
      <c r="N251" s="78"/>
      <c r="O251" s="78"/>
    </row>
    <row r="252" spans="1:15" ht="31.5" customHeight="1">
      <c r="A252" s="27">
        <v>244</v>
      </c>
      <c r="B252" s="13" t="s">
        <v>196</v>
      </c>
      <c r="C252" s="29">
        <v>901</v>
      </c>
      <c r="D252" s="16">
        <v>603</v>
      </c>
      <c r="E252" s="17" t="s">
        <v>163</v>
      </c>
      <c r="F252" s="17" t="s">
        <v>67</v>
      </c>
      <c r="G252" s="37"/>
      <c r="H252" s="37"/>
      <c r="I252" s="39">
        <f>274.1</f>
        <v>274.10000000000002</v>
      </c>
      <c r="J252" s="39">
        <f>274.1-30-0.06599-13.981</f>
        <v>230.05301000000003</v>
      </c>
      <c r="K252" s="39">
        <v>229.9</v>
      </c>
      <c r="L252" s="39">
        <f>K252/J252*100</f>
        <v>99.933489242327227</v>
      </c>
      <c r="M252" s="78"/>
      <c r="N252" s="78"/>
      <c r="O252" s="78"/>
    </row>
    <row r="253" spans="1:15" ht="18" customHeight="1">
      <c r="A253" s="27">
        <v>245</v>
      </c>
      <c r="B253" s="14" t="s">
        <v>20</v>
      </c>
      <c r="C253" s="27">
        <v>901</v>
      </c>
      <c r="D253" s="15">
        <v>700</v>
      </c>
      <c r="E253" s="12"/>
      <c r="F253" s="17"/>
      <c r="G253" s="37"/>
      <c r="H253" s="37"/>
      <c r="I253" s="38">
        <f>SUM(I254+I268+I291+I299+I320)</f>
        <v>160855.58999999997</v>
      </c>
      <c r="J253" s="38">
        <f>SUM(J254+J268+J291+J299+J320)</f>
        <v>165268.27600000001</v>
      </c>
      <c r="K253" s="38">
        <f>SUM(K254+K268+K291+K299+K320)</f>
        <v>159055.462</v>
      </c>
      <c r="L253" s="38">
        <f>K253/J253*100</f>
        <v>96.240770370231246</v>
      </c>
      <c r="M253" s="78"/>
      <c r="N253" s="78"/>
      <c r="O253" s="78"/>
    </row>
    <row r="254" spans="1:15" ht="17.25" customHeight="1">
      <c r="A254" s="27">
        <v>246</v>
      </c>
      <c r="B254" s="14" t="s">
        <v>21</v>
      </c>
      <c r="C254" s="27">
        <v>901</v>
      </c>
      <c r="D254" s="15">
        <v>701</v>
      </c>
      <c r="E254" s="12"/>
      <c r="F254" s="17"/>
      <c r="G254" s="37"/>
      <c r="H254" s="37"/>
      <c r="I254" s="38">
        <f>SUM(I255)</f>
        <v>52067.131999999998</v>
      </c>
      <c r="J254" s="38">
        <f>SUM(J255)</f>
        <v>55938.936000000002</v>
      </c>
      <c r="K254" s="38">
        <f>SUM(K255)</f>
        <v>55779</v>
      </c>
      <c r="L254" s="38">
        <f>SUM(L255)</f>
        <v>99.71408823364105</v>
      </c>
      <c r="M254" s="78"/>
      <c r="N254" s="78"/>
      <c r="O254" s="78"/>
    </row>
    <row r="255" spans="1:15" ht="31.5" customHeight="1">
      <c r="A255" s="27">
        <v>247</v>
      </c>
      <c r="B255" s="14" t="s">
        <v>276</v>
      </c>
      <c r="C255" s="27">
        <v>901</v>
      </c>
      <c r="D255" s="15">
        <v>701</v>
      </c>
      <c r="E255" s="12" t="s">
        <v>164</v>
      </c>
      <c r="F255" s="17"/>
      <c r="G255" s="37"/>
      <c r="H255" s="37"/>
      <c r="I255" s="38">
        <f>SUM(I256+I263)</f>
        <v>52067.131999999998</v>
      </c>
      <c r="J255" s="38">
        <f>SUM(J256+J263)</f>
        <v>55938.936000000002</v>
      </c>
      <c r="K255" s="38">
        <f>SUM(K256+K263)</f>
        <v>55779</v>
      </c>
      <c r="L255" s="38">
        <f t="shared" ref="L255:L260" si="17">K255/J255*100</f>
        <v>99.71408823364105</v>
      </c>
      <c r="M255" s="78"/>
      <c r="N255" s="78"/>
      <c r="O255" s="78"/>
    </row>
    <row r="256" spans="1:15" ht="25.5">
      <c r="A256" s="27">
        <v>248</v>
      </c>
      <c r="B256" s="14" t="s">
        <v>352</v>
      </c>
      <c r="C256" s="27">
        <v>901</v>
      </c>
      <c r="D256" s="15">
        <v>701</v>
      </c>
      <c r="E256" s="12" t="s">
        <v>464</v>
      </c>
      <c r="F256" s="17"/>
      <c r="G256" s="37"/>
      <c r="H256" s="37"/>
      <c r="I256" s="38">
        <f>SUM(I257+I261)</f>
        <v>31467.131999999998</v>
      </c>
      <c r="J256" s="38">
        <f>SUM(J257+J261)</f>
        <v>35315.135999999999</v>
      </c>
      <c r="K256" s="38">
        <f>SUM(K257+K261)</f>
        <v>35155.199999999997</v>
      </c>
      <c r="L256" s="38">
        <f t="shared" si="17"/>
        <v>99.547117700467012</v>
      </c>
      <c r="M256" s="78"/>
      <c r="N256" s="78"/>
      <c r="O256" s="78"/>
    </row>
    <row r="257" spans="1:15" ht="44.25" customHeight="1">
      <c r="A257" s="27">
        <v>249</v>
      </c>
      <c r="B257" s="14" t="s">
        <v>82</v>
      </c>
      <c r="C257" s="27">
        <v>901</v>
      </c>
      <c r="D257" s="15">
        <v>701</v>
      </c>
      <c r="E257" s="12" t="s">
        <v>165</v>
      </c>
      <c r="F257" s="17"/>
      <c r="G257" s="37"/>
      <c r="H257" s="37"/>
      <c r="I257" s="38">
        <f>SUM(I258:I260)</f>
        <v>31467.131999999998</v>
      </c>
      <c r="J257" s="38">
        <f>SUM(J258:J260)</f>
        <v>34108.951999999997</v>
      </c>
      <c r="K257" s="38">
        <f>SUM(K258:K260)</f>
        <v>33949</v>
      </c>
      <c r="L257" s="38">
        <f t="shared" si="17"/>
        <v>99.531055659523062</v>
      </c>
      <c r="M257" s="78"/>
      <c r="N257" s="78"/>
      <c r="O257" s="78"/>
    </row>
    <row r="258" spans="1:15" ht="18" customHeight="1">
      <c r="A258" s="27">
        <v>250</v>
      </c>
      <c r="B258" s="13" t="s">
        <v>38</v>
      </c>
      <c r="C258" s="29">
        <v>901</v>
      </c>
      <c r="D258" s="16">
        <v>701</v>
      </c>
      <c r="E258" s="17" t="s">
        <v>165</v>
      </c>
      <c r="F258" s="17" t="s">
        <v>37</v>
      </c>
      <c r="G258" s="37"/>
      <c r="H258" s="37"/>
      <c r="I258" s="39">
        <f>14846.8</f>
        <v>14846.8</v>
      </c>
      <c r="J258" s="39">
        <f>14846.8-0.646</f>
        <v>14846.153999999999</v>
      </c>
      <c r="K258" s="39">
        <v>14846.2</v>
      </c>
      <c r="L258" s="39">
        <f t="shared" si="17"/>
        <v>100.00030984455638</v>
      </c>
      <c r="M258" s="78"/>
      <c r="N258" s="78"/>
      <c r="O258" s="78"/>
    </row>
    <row r="259" spans="1:15" ht="28.5" customHeight="1">
      <c r="A259" s="27">
        <v>251</v>
      </c>
      <c r="B259" s="13" t="s">
        <v>196</v>
      </c>
      <c r="C259" s="29">
        <v>901</v>
      </c>
      <c r="D259" s="16">
        <v>701</v>
      </c>
      <c r="E259" s="17" t="s">
        <v>165</v>
      </c>
      <c r="F259" s="17" t="s">
        <v>67</v>
      </c>
      <c r="G259" s="37"/>
      <c r="H259" s="37"/>
      <c r="I259" s="39">
        <f>14557.032</f>
        <v>14557.031999999999</v>
      </c>
      <c r="J259" s="39">
        <f>14557.032+79.135+1512.548+250.137+167.293</f>
        <v>16566.145</v>
      </c>
      <c r="K259" s="39">
        <v>16406.2</v>
      </c>
      <c r="L259" s="39">
        <f t="shared" si="17"/>
        <v>99.034506820989435</v>
      </c>
      <c r="M259" s="78"/>
      <c r="N259" s="78"/>
      <c r="O259" s="78"/>
    </row>
    <row r="260" spans="1:15" ht="19.5" customHeight="1">
      <c r="A260" s="27">
        <v>252</v>
      </c>
      <c r="B260" s="13" t="s">
        <v>192</v>
      </c>
      <c r="C260" s="29">
        <v>901</v>
      </c>
      <c r="D260" s="16">
        <v>701</v>
      </c>
      <c r="E260" s="17" t="s">
        <v>165</v>
      </c>
      <c r="F260" s="17" t="s">
        <v>193</v>
      </c>
      <c r="G260" s="37"/>
      <c r="H260" s="37"/>
      <c r="I260" s="39">
        <f>2063.3</f>
        <v>2063.3000000000002</v>
      </c>
      <c r="J260" s="39">
        <f>2063.3+800.646-167.293</f>
        <v>2696.6529999999998</v>
      </c>
      <c r="K260" s="39">
        <v>2696.6</v>
      </c>
      <c r="L260" s="39">
        <f t="shared" si="17"/>
        <v>99.998034600669797</v>
      </c>
      <c r="M260" s="78"/>
      <c r="N260" s="78"/>
      <c r="O260" s="78"/>
    </row>
    <row r="261" spans="1:15" ht="43.5" customHeight="1">
      <c r="A261" s="27">
        <v>253</v>
      </c>
      <c r="B261" s="14" t="s">
        <v>462</v>
      </c>
      <c r="C261" s="27">
        <v>901</v>
      </c>
      <c r="D261" s="15">
        <v>701</v>
      </c>
      <c r="E261" s="12" t="s">
        <v>463</v>
      </c>
      <c r="F261" s="12"/>
      <c r="G261" s="58"/>
      <c r="H261" s="58"/>
      <c r="I261" s="38">
        <f>SUM(I262)</f>
        <v>0</v>
      </c>
      <c r="J261" s="38">
        <f>SUM(J262)</f>
        <v>1206.184</v>
      </c>
      <c r="K261" s="38">
        <f>SUM(K262)</f>
        <v>1206.2</v>
      </c>
      <c r="L261" s="38">
        <f>SUM(L262)</f>
        <v>100.00132649744981</v>
      </c>
      <c r="M261" s="78"/>
      <c r="N261" s="78"/>
      <c r="O261" s="78"/>
    </row>
    <row r="262" spans="1:15" ht="29.25" customHeight="1">
      <c r="A262" s="27">
        <v>254</v>
      </c>
      <c r="B262" s="13" t="s">
        <v>196</v>
      </c>
      <c r="C262" s="29">
        <v>901</v>
      </c>
      <c r="D262" s="16">
        <v>701</v>
      </c>
      <c r="E262" s="17" t="s">
        <v>463</v>
      </c>
      <c r="F262" s="17" t="s">
        <v>67</v>
      </c>
      <c r="G262" s="59"/>
      <c r="H262" s="59"/>
      <c r="I262" s="39">
        <v>0</v>
      </c>
      <c r="J262" s="39">
        <v>1206.184</v>
      </c>
      <c r="K262" s="39">
        <v>1206.2</v>
      </c>
      <c r="L262" s="39">
        <f>K262/J262*100</f>
        <v>100.00132649744981</v>
      </c>
      <c r="M262" s="78"/>
      <c r="N262" s="78"/>
      <c r="O262" s="78"/>
    </row>
    <row r="263" spans="1:15" ht="58.5" customHeight="1">
      <c r="A263" s="27">
        <v>255</v>
      </c>
      <c r="B263" s="14" t="s">
        <v>83</v>
      </c>
      <c r="C263" s="27">
        <v>901</v>
      </c>
      <c r="D263" s="15">
        <v>701</v>
      </c>
      <c r="E263" s="12" t="s">
        <v>166</v>
      </c>
      <c r="F263" s="17"/>
      <c r="G263" s="37"/>
      <c r="H263" s="37"/>
      <c r="I263" s="38">
        <f>SUM(I264+I266)</f>
        <v>20600</v>
      </c>
      <c r="J263" s="38">
        <f>SUM(J264+J266)</f>
        <v>20623.8</v>
      </c>
      <c r="K263" s="38">
        <f>SUM(K264+K266)</f>
        <v>20623.8</v>
      </c>
      <c r="L263" s="38">
        <f>K263/J263*100</f>
        <v>100</v>
      </c>
      <c r="M263" s="78"/>
      <c r="N263" s="78"/>
      <c r="O263" s="78"/>
    </row>
    <row r="264" spans="1:15" ht="73.5" customHeight="1">
      <c r="A264" s="27">
        <v>256</v>
      </c>
      <c r="B264" s="14" t="s">
        <v>84</v>
      </c>
      <c r="C264" s="27">
        <v>901</v>
      </c>
      <c r="D264" s="15">
        <v>701</v>
      </c>
      <c r="E264" s="12" t="s">
        <v>194</v>
      </c>
      <c r="F264" s="12"/>
      <c r="G264" s="40"/>
      <c r="H264" s="40"/>
      <c r="I264" s="38">
        <f>SUM(I265)</f>
        <v>20282</v>
      </c>
      <c r="J264" s="38">
        <f>SUM(J265)</f>
        <v>20282</v>
      </c>
      <c r="K264" s="38">
        <f>SUM(K265)</f>
        <v>20282</v>
      </c>
      <c r="L264" s="38">
        <f>SUM(L265)</f>
        <v>100</v>
      </c>
      <c r="M264" s="78"/>
      <c r="N264" s="78"/>
      <c r="O264" s="78"/>
    </row>
    <row r="265" spans="1:15" ht="18" customHeight="1">
      <c r="A265" s="27">
        <v>257</v>
      </c>
      <c r="B265" s="13" t="s">
        <v>38</v>
      </c>
      <c r="C265" s="29">
        <v>901</v>
      </c>
      <c r="D265" s="16">
        <v>701</v>
      </c>
      <c r="E265" s="17" t="s">
        <v>194</v>
      </c>
      <c r="F265" s="17" t="s">
        <v>37</v>
      </c>
      <c r="G265" s="37"/>
      <c r="H265" s="37"/>
      <c r="I265" s="39">
        <v>20282</v>
      </c>
      <c r="J265" s="39">
        <v>20282</v>
      </c>
      <c r="K265" s="39">
        <v>20282</v>
      </c>
      <c r="L265" s="39">
        <f>K265/J265*100</f>
        <v>100</v>
      </c>
      <c r="M265" s="78"/>
      <c r="N265" s="78"/>
      <c r="O265" s="78"/>
    </row>
    <row r="266" spans="1:15" ht="69" customHeight="1">
      <c r="A266" s="27">
        <v>258</v>
      </c>
      <c r="B266" s="14" t="s">
        <v>85</v>
      </c>
      <c r="C266" s="27">
        <v>901</v>
      </c>
      <c r="D266" s="15">
        <v>701</v>
      </c>
      <c r="E266" s="12" t="s">
        <v>353</v>
      </c>
      <c r="F266" s="12"/>
      <c r="G266" s="40"/>
      <c r="H266" s="40"/>
      <c r="I266" s="38">
        <f>SUM(I267)</f>
        <v>318</v>
      </c>
      <c r="J266" s="38">
        <f>SUM(J267)</f>
        <v>341.8</v>
      </c>
      <c r="K266" s="38">
        <f>SUM(K267)</f>
        <v>341.8</v>
      </c>
      <c r="L266" s="38">
        <f>SUM(L267)</f>
        <v>100</v>
      </c>
      <c r="M266" s="78"/>
      <c r="N266" s="78"/>
      <c r="O266" s="78"/>
    </row>
    <row r="267" spans="1:15" ht="27" customHeight="1">
      <c r="A267" s="27">
        <v>259</v>
      </c>
      <c r="B267" s="13" t="s">
        <v>196</v>
      </c>
      <c r="C267" s="29">
        <v>901</v>
      </c>
      <c r="D267" s="16">
        <v>701</v>
      </c>
      <c r="E267" s="17" t="s">
        <v>353</v>
      </c>
      <c r="F267" s="17" t="s">
        <v>67</v>
      </c>
      <c r="G267" s="37"/>
      <c r="H267" s="37"/>
      <c r="I267" s="39">
        <f>318</f>
        <v>318</v>
      </c>
      <c r="J267" s="39">
        <f>318+23.8</f>
        <v>341.8</v>
      </c>
      <c r="K267" s="39">
        <v>341.8</v>
      </c>
      <c r="L267" s="39">
        <f>K267/J267*100</f>
        <v>100</v>
      </c>
      <c r="M267" s="78"/>
      <c r="N267" s="78"/>
      <c r="O267" s="78"/>
    </row>
    <row r="268" spans="1:15" ht="20.25" customHeight="1">
      <c r="A268" s="27">
        <v>260</v>
      </c>
      <c r="B268" s="14" t="s">
        <v>22</v>
      </c>
      <c r="C268" s="27">
        <v>901</v>
      </c>
      <c r="D268" s="15">
        <v>702</v>
      </c>
      <c r="E268" s="12"/>
      <c r="F268" s="17"/>
      <c r="G268" s="37"/>
      <c r="H268" s="37"/>
      <c r="I268" s="38">
        <f>SUM(I269+I288)</f>
        <v>97298.657999999996</v>
      </c>
      <c r="J268" s="38">
        <f>SUM(J269+J288)</f>
        <v>97511.116999999998</v>
      </c>
      <c r="K268" s="38">
        <f>SUM(K269+K288)</f>
        <v>91511.1</v>
      </c>
      <c r="L268" s="38">
        <f>K268/J268*100</f>
        <v>93.846837996943478</v>
      </c>
      <c r="M268" s="78"/>
      <c r="N268" s="78"/>
      <c r="O268" s="78"/>
    </row>
    <row r="269" spans="1:15" ht="29.25" customHeight="1">
      <c r="A269" s="27">
        <v>261</v>
      </c>
      <c r="B269" s="14" t="s">
        <v>276</v>
      </c>
      <c r="C269" s="27">
        <v>901</v>
      </c>
      <c r="D269" s="15">
        <v>702</v>
      </c>
      <c r="E269" s="12" t="s">
        <v>164</v>
      </c>
      <c r="F269" s="17"/>
      <c r="G269" s="37"/>
      <c r="H269" s="37"/>
      <c r="I269" s="38">
        <f>SUM(I270+I276+I278+I285)</f>
        <v>91298.657999999996</v>
      </c>
      <c r="J269" s="38">
        <f>SUM(J270+J276+J278+J285)</f>
        <v>91511.116999999998</v>
      </c>
      <c r="K269" s="38">
        <f>SUM(K270+K276+K278+K285)</f>
        <v>91511.1</v>
      </c>
      <c r="L269" s="38">
        <f>K269/J269*100</f>
        <v>99.999981423022092</v>
      </c>
      <c r="M269" s="78"/>
      <c r="N269" s="78"/>
      <c r="O269" s="78"/>
    </row>
    <row r="270" spans="1:15" ht="25.5">
      <c r="A270" s="27">
        <v>262</v>
      </c>
      <c r="B270" s="14" t="s">
        <v>354</v>
      </c>
      <c r="C270" s="27">
        <v>901</v>
      </c>
      <c r="D270" s="15">
        <v>702</v>
      </c>
      <c r="E270" s="12" t="s">
        <v>355</v>
      </c>
      <c r="F270" s="12"/>
      <c r="G270" s="37"/>
      <c r="H270" s="37"/>
      <c r="I270" s="38">
        <f>I271</f>
        <v>40785.657999999996</v>
      </c>
      <c r="J270" s="38">
        <f>J271</f>
        <v>40417.625</v>
      </c>
      <c r="K270" s="38">
        <f>K271</f>
        <v>40417.599999999999</v>
      </c>
      <c r="L270" s="38">
        <f>L271</f>
        <v>99.999938145796534</v>
      </c>
      <c r="M270" s="78"/>
      <c r="N270" s="78"/>
      <c r="O270" s="78"/>
    </row>
    <row r="271" spans="1:15" ht="38.25">
      <c r="A271" s="27">
        <v>263</v>
      </c>
      <c r="B271" s="14" t="s">
        <v>86</v>
      </c>
      <c r="C271" s="27">
        <v>901</v>
      </c>
      <c r="D271" s="15">
        <v>702</v>
      </c>
      <c r="E271" s="12" t="s">
        <v>356</v>
      </c>
      <c r="F271" s="12"/>
      <c r="G271" s="37"/>
      <c r="H271" s="37"/>
      <c r="I271" s="38">
        <f>SUM(I272:I275)</f>
        <v>40785.657999999996</v>
      </c>
      <c r="J271" s="38">
        <f>SUM(J272:J275)</f>
        <v>40417.625</v>
      </c>
      <c r="K271" s="38">
        <f>SUM(K272:K275)</f>
        <v>40417.599999999999</v>
      </c>
      <c r="L271" s="38">
        <f>K271/J271*100</f>
        <v>99.999938145796534</v>
      </c>
      <c r="M271" s="78"/>
      <c r="N271" s="78"/>
      <c r="O271" s="78"/>
    </row>
    <row r="272" spans="1:15">
      <c r="A272" s="80">
        <v>264</v>
      </c>
      <c r="B272" s="13" t="s">
        <v>38</v>
      </c>
      <c r="C272" s="29">
        <v>901</v>
      </c>
      <c r="D272" s="16">
        <v>702</v>
      </c>
      <c r="E272" s="17" t="s">
        <v>356</v>
      </c>
      <c r="F272" s="17" t="s">
        <v>37</v>
      </c>
      <c r="G272" s="37"/>
      <c r="H272" s="37"/>
      <c r="I272" s="39">
        <f>16861.958</f>
        <v>16861.957999999999</v>
      </c>
      <c r="J272" s="39">
        <f>16861.958-14676.3</f>
        <v>2185.6579999999994</v>
      </c>
      <c r="K272" s="39">
        <v>2185.6999999999998</v>
      </c>
      <c r="L272" s="39">
        <f>K272/J272*100</f>
        <v>100.00192161811228</v>
      </c>
      <c r="M272" s="78"/>
      <c r="N272" s="78"/>
      <c r="O272" s="78"/>
    </row>
    <row r="273" spans="1:15" ht="29.25" customHeight="1">
      <c r="A273" s="80">
        <v>265</v>
      </c>
      <c r="B273" s="13" t="s">
        <v>196</v>
      </c>
      <c r="C273" s="29">
        <v>901</v>
      </c>
      <c r="D273" s="16">
        <v>702</v>
      </c>
      <c r="E273" s="17" t="s">
        <v>356</v>
      </c>
      <c r="F273" s="17" t="s">
        <v>67</v>
      </c>
      <c r="G273" s="37"/>
      <c r="H273" s="37"/>
      <c r="I273" s="39">
        <v>23842.7</v>
      </c>
      <c r="J273" s="39">
        <v>0</v>
      </c>
      <c r="K273" s="39">
        <v>0</v>
      </c>
      <c r="L273" s="39">
        <v>0</v>
      </c>
      <c r="M273" s="78"/>
      <c r="N273" s="78"/>
      <c r="O273" s="78"/>
    </row>
    <row r="274" spans="1:15" ht="19.5" customHeight="1">
      <c r="A274" s="27">
        <v>266</v>
      </c>
      <c r="B274" s="13" t="s">
        <v>403</v>
      </c>
      <c r="C274" s="29">
        <v>901</v>
      </c>
      <c r="D274" s="16">
        <v>702</v>
      </c>
      <c r="E274" s="17" t="s">
        <v>356</v>
      </c>
      <c r="F274" s="17" t="s">
        <v>404</v>
      </c>
      <c r="G274" s="37"/>
      <c r="H274" s="37"/>
      <c r="I274" s="39">
        <v>0</v>
      </c>
      <c r="J274" s="39">
        <f>38600.016-470.351-245.161-101.4+81.998+27.65+79.46+259.755</f>
        <v>38231.966999999997</v>
      </c>
      <c r="K274" s="39">
        <v>38231.9</v>
      </c>
      <c r="L274" s="39">
        <f>K274/J274*100</f>
        <v>99.999824753981414</v>
      </c>
      <c r="M274" s="78"/>
      <c r="N274" s="78"/>
      <c r="O274" s="78"/>
    </row>
    <row r="275" spans="1:15" ht="19.5" customHeight="1">
      <c r="A275" s="27">
        <v>267</v>
      </c>
      <c r="B275" s="13" t="s">
        <v>275</v>
      </c>
      <c r="C275" s="29">
        <v>901</v>
      </c>
      <c r="D275" s="16">
        <v>702</v>
      </c>
      <c r="E275" s="17" t="s">
        <v>356</v>
      </c>
      <c r="F275" s="17" t="s">
        <v>193</v>
      </c>
      <c r="G275" s="37"/>
      <c r="H275" s="37"/>
      <c r="I275" s="39">
        <v>81</v>
      </c>
      <c r="J275" s="39">
        <v>0</v>
      </c>
      <c r="K275" s="39">
        <v>0</v>
      </c>
      <c r="L275" s="39">
        <v>0</v>
      </c>
      <c r="M275" s="78"/>
      <c r="N275" s="78"/>
      <c r="O275" s="78"/>
    </row>
    <row r="276" spans="1:15" ht="42.75" customHeight="1">
      <c r="A276" s="27">
        <v>268</v>
      </c>
      <c r="B276" s="79" t="s">
        <v>448</v>
      </c>
      <c r="C276" s="80">
        <v>901</v>
      </c>
      <c r="D276" s="81">
        <v>702</v>
      </c>
      <c r="E276" s="82" t="s">
        <v>449</v>
      </c>
      <c r="F276" s="82"/>
      <c r="G276" s="83"/>
      <c r="H276" s="83"/>
      <c r="I276" s="84">
        <f>SUM(I277)</f>
        <v>0</v>
      </c>
      <c r="J276" s="84">
        <f>SUM(J277)</f>
        <v>775.99199999999996</v>
      </c>
      <c r="K276" s="84">
        <f>SUM(K277)</f>
        <v>776</v>
      </c>
      <c r="L276" s="84">
        <f>SUM(L277)</f>
        <v>100.00103093846329</v>
      </c>
      <c r="M276" s="78"/>
      <c r="N276" s="78"/>
      <c r="O276" s="78"/>
    </row>
    <row r="277" spans="1:15" ht="19.5" customHeight="1">
      <c r="A277" s="27">
        <v>269</v>
      </c>
      <c r="B277" s="85" t="s">
        <v>403</v>
      </c>
      <c r="C277" s="86">
        <v>901</v>
      </c>
      <c r="D277" s="87">
        <v>702</v>
      </c>
      <c r="E277" s="88" t="s">
        <v>449</v>
      </c>
      <c r="F277" s="88" t="s">
        <v>404</v>
      </c>
      <c r="G277" s="89"/>
      <c r="H277" s="89"/>
      <c r="I277" s="90">
        <v>0</v>
      </c>
      <c r="J277" s="90">
        <v>775.99199999999996</v>
      </c>
      <c r="K277" s="90">
        <v>776</v>
      </c>
      <c r="L277" s="90">
        <f>K277/J277*100</f>
        <v>100.00103093846329</v>
      </c>
      <c r="M277" s="78"/>
      <c r="N277" s="78"/>
      <c r="O277" s="78"/>
    </row>
    <row r="278" spans="1:15" ht="90" customHeight="1">
      <c r="A278" s="27">
        <v>270</v>
      </c>
      <c r="B278" s="14" t="s">
        <v>357</v>
      </c>
      <c r="C278" s="27">
        <v>901</v>
      </c>
      <c r="D278" s="15">
        <v>702</v>
      </c>
      <c r="E278" s="12" t="s">
        <v>358</v>
      </c>
      <c r="F278" s="17"/>
      <c r="G278" s="37"/>
      <c r="H278" s="37"/>
      <c r="I278" s="38">
        <f>SUM(I279+I282)</f>
        <v>46204</v>
      </c>
      <c r="J278" s="38">
        <f>SUM(J279+J282)</f>
        <v>46082.5</v>
      </c>
      <c r="K278" s="38">
        <f>SUM(K279+K282)</f>
        <v>46082.5</v>
      </c>
      <c r="L278" s="38">
        <f>K278/J278*100</f>
        <v>100</v>
      </c>
      <c r="M278" s="78"/>
      <c r="N278" s="78"/>
      <c r="O278" s="78"/>
    </row>
    <row r="279" spans="1:15" ht="68.25" customHeight="1">
      <c r="A279" s="27">
        <v>271</v>
      </c>
      <c r="B279" s="14" t="s">
        <v>88</v>
      </c>
      <c r="C279" s="27">
        <v>901</v>
      </c>
      <c r="D279" s="15">
        <v>702</v>
      </c>
      <c r="E279" s="12" t="s">
        <v>359</v>
      </c>
      <c r="F279" s="12"/>
      <c r="G279" s="40"/>
      <c r="H279" s="40"/>
      <c r="I279" s="38">
        <f>SUM(I280:I281)</f>
        <v>44246</v>
      </c>
      <c r="J279" s="38">
        <f>SUM(J280:J281)</f>
        <v>44080.5</v>
      </c>
      <c r="K279" s="38">
        <f>SUM(K280:K281)</f>
        <v>44080.5</v>
      </c>
      <c r="L279" s="38">
        <f>K279/J279*100</f>
        <v>100</v>
      </c>
      <c r="M279" s="78"/>
      <c r="N279" s="78"/>
      <c r="O279" s="78"/>
    </row>
    <row r="280" spans="1:15" ht="18.75" customHeight="1">
      <c r="A280" s="27">
        <v>272</v>
      </c>
      <c r="B280" s="13" t="s">
        <v>38</v>
      </c>
      <c r="C280" s="29">
        <v>901</v>
      </c>
      <c r="D280" s="16">
        <v>702</v>
      </c>
      <c r="E280" s="17" t="s">
        <v>359</v>
      </c>
      <c r="F280" s="17" t="s">
        <v>37</v>
      </c>
      <c r="G280" s="37"/>
      <c r="H280" s="37"/>
      <c r="I280" s="39">
        <v>44246</v>
      </c>
      <c r="J280" s="39">
        <v>5445.8</v>
      </c>
      <c r="K280" s="39">
        <v>5445.8</v>
      </c>
      <c r="L280" s="39">
        <f>K280/J280*100</f>
        <v>100</v>
      </c>
      <c r="M280" s="78"/>
      <c r="N280" s="78"/>
      <c r="O280" s="78"/>
    </row>
    <row r="281" spans="1:15" ht="18.75" customHeight="1">
      <c r="A281" s="27">
        <v>273</v>
      </c>
      <c r="B281" s="13" t="s">
        <v>403</v>
      </c>
      <c r="C281" s="29">
        <v>901</v>
      </c>
      <c r="D281" s="16">
        <v>702</v>
      </c>
      <c r="E281" s="17" t="s">
        <v>359</v>
      </c>
      <c r="F281" s="17" t="s">
        <v>404</v>
      </c>
      <c r="G281" s="37"/>
      <c r="H281" s="37"/>
      <c r="I281" s="39">
        <v>0</v>
      </c>
      <c r="J281" s="39">
        <f>38800.2-1300+1134.5</f>
        <v>38634.699999999997</v>
      </c>
      <c r="K281" s="39">
        <v>38634.699999999997</v>
      </c>
      <c r="L281" s="39">
        <f>K281/J281*100</f>
        <v>100</v>
      </c>
      <c r="M281" s="78"/>
      <c r="N281" s="78"/>
      <c r="O281" s="78"/>
    </row>
    <row r="282" spans="1:15" ht="105.75" customHeight="1">
      <c r="A282" s="27">
        <v>274</v>
      </c>
      <c r="B282" s="41" t="s">
        <v>231</v>
      </c>
      <c r="C282" s="27">
        <v>901</v>
      </c>
      <c r="D282" s="15">
        <v>702</v>
      </c>
      <c r="E282" s="12" t="s">
        <v>360</v>
      </c>
      <c r="F282" s="12"/>
      <c r="G282" s="40"/>
      <c r="H282" s="40"/>
      <c r="I282" s="38">
        <f>SUM(I283:I284)</f>
        <v>1958</v>
      </c>
      <c r="J282" s="38">
        <f>SUM(J283:J284)</f>
        <v>2002</v>
      </c>
      <c r="K282" s="38">
        <f>SUM(K283:K284)</f>
        <v>2002</v>
      </c>
      <c r="L282" s="38">
        <f>SUM(L283:L284)</f>
        <v>100</v>
      </c>
      <c r="M282" s="78"/>
      <c r="N282" s="78"/>
      <c r="O282" s="78"/>
    </row>
    <row r="283" spans="1:15" ht="29.25" customHeight="1">
      <c r="A283" s="27">
        <v>275</v>
      </c>
      <c r="B283" s="13" t="s">
        <v>196</v>
      </c>
      <c r="C283" s="29">
        <v>901</v>
      </c>
      <c r="D283" s="16">
        <v>702</v>
      </c>
      <c r="E283" s="17" t="s">
        <v>360</v>
      </c>
      <c r="F283" s="17" t="s">
        <v>67</v>
      </c>
      <c r="G283" s="37"/>
      <c r="H283" s="37"/>
      <c r="I283" s="39">
        <v>1958</v>
      </c>
      <c r="J283" s="39">
        <v>0</v>
      </c>
      <c r="K283" s="39">
        <v>0</v>
      </c>
      <c r="L283" s="39">
        <v>0</v>
      </c>
      <c r="M283" s="78"/>
      <c r="N283" s="78"/>
      <c r="O283" s="78"/>
    </row>
    <row r="284" spans="1:15" ht="29.25" customHeight="1">
      <c r="A284" s="27">
        <v>276</v>
      </c>
      <c r="B284" s="13" t="s">
        <v>403</v>
      </c>
      <c r="C284" s="29">
        <v>901</v>
      </c>
      <c r="D284" s="16">
        <v>702</v>
      </c>
      <c r="E284" s="17" t="s">
        <v>360</v>
      </c>
      <c r="F284" s="17" t="s">
        <v>404</v>
      </c>
      <c r="G284" s="37"/>
      <c r="H284" s="37"/>
      <c r="I284" s="39">
        <v>0</v>
      </c>
      <c r="J284" s="39">
        <f>1958+44</f>
        <v>2002</v>
      </c>
      <c r="K284" s="39">
        <v>2002</v>
      </c>
      <c r="L284" s="39">
        <f>K284/J284*100</f>
        <v>100</v>
      </c>
      <c r="M284" s="78"/>
      <c r="N284" s="78"/>
      <c r="O284" s="78"/>
    </row>
    <row r="285" spans="1:15" ht="30.75" customHeight="1">
      <c r="A285" s="27">
        <v>277</v>
      </c>
      <c r="B285" s="14" t="s">
        <v>89</v>
      </c>
      <c r="C285" s="27">
        <v>901</v>
      </c>
      <c r="D285" s="15">
        <v>702</v>
      </c>
      <c r="E285" s="12" t="s">
        <v>361</v>
      </c>
      <c r="F285" s="17"/>
      <c r="G285" s="37"/>
      <c r="H285" s="37"/>
      <c r="I285" s="38">
        <f>SUM(I286:I287)</f>
        <v>4309</v>
      </c>
      <c r="J285" s="38">
        <f>SUM(J286:J287)</f>
        <v>4235</v>
      </c>
      <c r="K285" s="38">
        <f>SUM(K286:K287)</f>
        <v>4235</v>
      </c>
      <c r="L285" s="38">
        <f>K285/J285*100</f>
        <v>100</v>
      </c>
      <c r="M285" s="78"/>
      <c r="N285" s="78"/>
      <c r="O285" s="78"/>
    </row>
    <row r="286" spans="1:15" ht="29.25" customHeight="1">
      <c r="A286" s="27">
        <v>278</v>
      </c>
      <c r="B286" s="13" t="s">
        <v>196</v>
      </c>
      <c r="C286" s="29">
        <v>901</v>
      </c>
      <c r="D286" s="16">
        <v>702</v>
      </c>
      <c r="E286" s="17" t="s">
        <v>361</v>
      </c>
      <c r="F286" s="17" t="s">
        <v>67</v>
      </c>
      <c r="G286" s="37"/>
      <c r="H286" s="37"/>
      <c r="I286" s="39">
        <v>4309</v>
      </c>
      <c r="J286" s="39">
        <v>0</v>
      </c>
      <c r="K286" s="39">
        <v>0</v>
      </c>
      <c r="L286" s="39">
        <v>0</v>
      </c>
      <c r="M286" s="78"/>
      <c r="N286" s="78"/>
      <c r="O286" s="78"/>
    </row>
    <row r="287" spans="1:15" ht="29.25" customHeight="1">
      <c r="A287" s="27">
        <v>279</v>
      </c>
      <c r="B287" s="13" t="s">
        <v>403</v>
      </c>
      <c r="C287" s="29">
        <v>901</v>
      </c>
      <c r="D287" s="16">
        <v>702</v>
      </c>
      <c r="E287" s="17" t="s">
        <v>361</v>
      </c>
      <c r="F287" s="17" t="s">
        <v>404</v>
      </c>
      <c r="G287" s="37"/>
      <c r="H287" s="37"/>
      <c r="I287" s="39">
        <v>0</v>
      </c>
      <c r="J287" s="39">
        <f>4689-344-110</f>
        <v>4235</v>
      </c>
      <c r="K287" s="39">
        <v>4235</v>
      </c>
      <c r="L287" s="39">
        <f>K287/J287*100</f>
        <v>100</v>
      </c>
      <c r="M287" s="78"/>
      <c r="N287" s="78"/>
      <c r="O287" s="78"/>
    </row>
    <row r="288" spans="1:15" ht="69" customHeight="1">
      <c r="A288" s="27">
        <v>280</v>
      </c>
      <c r="B288" s="14" t="s">
        <v>213</v>
      </c>
      <c r="C288" s="27">
        <v>901</v>
      </c>
      <c r="D288" s="15">
        <v>702</v>
      </c>
      <c r="E288" s="12" t="s">
        <v>214</v>
      </c>
      <c r="F288" s="17"/>
      <c r="G288" s="37"/>
      <c r="H288" s="37"/>
      <c r="I288" s="38">
        <f t="shared" ref="I288:L289" si="18">SUM(I289)</f>
        <v>6000</v>
      </c>
      <c r="J288" s="38">
        <f t="shared" si="18"/>
        <v>6000</v>
      </c>
      <c r="K288" s="38">
        <f t="shared" si="18"/>
        <v>0</v>
      </c>
      <c r="L288" s="38">
        <f t="shared" si="18"/>
        <v>0</v>
      </c>
      <c r="M288" s="78"/>
      <c r="N288" s="78"/>
      <c r="O288" s="78"/>
    </row>
    <row r="289" spans="1:15" ht="52.5" customHeight="1">
      <c r="A289" s="27">
        <v>281</v>
      </c>
      <c r="B289" s="49" t="s">
        <v>362</v>
      </c>
      <c r="C289" s="27">
        <v>901</v>
      </c>
      <c r="D289" s="15">
        <v>702</v>
      </c>
      <c r="E289" s="12" t="s">
        <v>215</v>
      </c>
      <c r="F289" s="12"/>
      <c r="G289" s="37"/>
      <c r="H289" s="37"/>
      <c r="I289" s="38">
        <f t="shared" si="18"/>
        <v>6000</v>
      </c>
      <c r="J289" s="38">
        <f t="shared" si="18"/>
        <v>6000</v>
      </c>
      <c r="K289" s="38">
        <f t="shared" si="18"/>
        <v>0</v>
      </c>
      <c r="L289" s="38">
        <f t="shared" si="18"/>
        <v>0</v>
      </c>
      <c r="M289" s="78"/>
      <c r="N289" s="78"/>
      <c r="O289" s="78"/>
    </row>
    <row r="290" spans="1:15" ht="29.25" customHeight="1">
      <c r="A290" s="27">
        <v>282</v>
      </c>
      <c r="B290" s="13" t="s">
        <v>196</v>
      </c>
      <c r="C290" s="29">
        <v>901</v>
      </c>
      <c r="D290" s="16">
        <v>702</v>
      </c>
      <c r="E290" s="17" t="s">
        <v>215</v>
      </c>
      <c r="F290" s="17" t="s">
        <v>67</v>
      </c>
      <c r="G290" s="37"/>
      <c r="H290" s="37"/>
      <c r="I290" s="39">
        <v>6000</v>
      </c>
      <c r="J290" s="39">
        <v>6000</v>
      </c>
      <c r="K290" s="39">
        <v>0</v>
      </c>
      <c r="L290" s="39">
        <v>0</v>
      </c>
      <c r="M290" s="78"/>
      <c r="N290" s="78"/>
      <c r="O290" s="78"/>
    </row>
    <row r="291" spans="1:15" ht="29.25" customHeight="1">
      <c r="A291" s="27">
        <v>283</v>
      </c>
      <c r="B291" s="14" t="s">
        <v>216</v>
      </c>
      <c r="C291" s="27">
        <v>901</v>
      </c>
      <c r="D291" s="15">
        <v>703</v>
      </c>
      <c r="E291" s="12"/>
      <c r="F291" s="12"/>
      <c r="G291" s="40"/>
      <c r="H291" s="40"/>
      <c r="I291" s="38">
        <f t="shared" ref="I291:L292" si="19">SUM(I292)</f>
        <v>8104.7999999999993</v>
      </c>
      <c r="J291" s="38">
        <f t="shared" si="19"/>
        <v>8104.8119999999999</v>
      </c>
      <c r="K291" s="38">
        <f t="shared" si="19"/>
        <v>8104.8119999999999</v>
      </c>
      <c r="L291" s="38">
        <f t="shared" si="19"/>
        <v>100</v>
      </c>
      <c r="M291" s="78"/>
      <c r="N291" s="78"/>
      <c r="O291" s="78"/>
    </row>
    <row r="292" spans="1:15" ht="29.25" customHeight="1">
      <c r="A292" s="27">
        <v>284</v>
      </c>
      <c r="B292" s="14" t="s">
        <v>276</v>
      </c>
      <c r="C292" s="27">
        <v>901</v>
      </c>
      <c r="D292" s="15">
        <v>703</v>
      </c>
      <c r="E292" s="12" t="s">
        <v>164</v>
      </c>
      <c r="F292" s="17"/>
      <c r="G292" s="37"/>
      <c r="H292" s="37"/>
      <c r="I292" s="38">
        <f t="shared" si="19"/>
        <v>8104.7999999999993</v>
      </c>
      <c r="J292" s="38">
        <f t="shared" si="19"/>
        <v>8104.8119999999999</v>
      </c>
      <c r="K292" s="38">
        <f t="shared" si="19"/>
        <v>8104.8119999999999</v>
      </c>
      <c r="L292" s="38">
        <f t="shared" si="19"/>
        <v>100</v>
      </c>
      <c r="M292" s="78"/>
      <c r="N292" s="78"/>
      <c r="O292" s="78"/>
    </row>
    <row r="293" spans="1:15" ht="29.25" customHeight="1">
      <c r="A293" s="27">
        <v>285</v>
      </c>
      <c r="B293" s="14" t="s">
        <v>363</v>
      </c>
      <c r="C293" s="27">
        <v>901</v>
      </c>
      <c r="D293" s="15">
        <v>703</v>
      </c>
      <c r="E293" s="12" t="s">
        <v>364</v>
      </c>
      <c r="F293" s="12"/>
      <c r="G293" s="37"/>
      <c r="H293" s="37"/>
      <c r="I293" s="38">
        <f>I294</f>
        <v>8104.7999999999993</v>
      </c>
      <c r="J293" s="38">
        <f>J294</f>
        <v>8104.8119999999999</v>
      </c>
      <c r="K293" s="38">
        <f>K294</f>
        <v>8104.8119999999999</v>
      </c>
      <c r="L293" s="38">
        <f>L294</f>
        <v>100</v>
      </c>
      <c r="M293" s="78"/>
      <c r="N293" s="78"/>
      <c r="O293" s="78"/>
    </row>
    <row r="294" spans="1:15" ht="29.25" customHeight="1">
      <c r="A294" s="27">
        <v>286</v>
      </c>
      <c r="B294" s="14" t="s">
        <v>87</v>
      </c>
      <c r="C294" s="27">
        <v>901</v>
      </c>
      <c r="D294" s="15">
        <v>703</v>
      </c>
      <c r="E294" s="12" t="s">
        <v>365</v>
      </c>
      <c r="F294" s="12"/>
      <c r="G294" s="37"/>
      <c r="H294" s="37"/>
      <c r="I294" s="38">
        <f>SUM(I295:I298)</f>
        <v>8104.7999999999993</v>
      </c>
      <c r="J294" s="38">
        <f>SUM(J295:J298)</f>
        <v>8104.8119999999999</v>
      </c>
      <c r="K294" s="38">
        <f>SUM(K295:K298)</f>
        <v>8104.8119999999999</v>
      </c>
      <c r="L294" s="38">
        <f>K294/J294*100</f>
        <v>100</v>
      </c>
      <c r="M294" s="78"/>
      <c r="N294" s="78"/>
      <c r="O294" s="78"/>
    </row>
    <row r="295" spans="1:15" ht="29.25" customHeight="1">
      <c r="A295" s="27">
        <v>287</v>
      </c>
      <c r="B295" s="13" t="s">
        <v>70</v>
      </c>
      <c r="C295" s="29">
        <v>901</v>
      </c>
      <c r="D295" s="16">
        <v>703</v>
      </c>
      <c r="E295" s="17" t="s">
        <v>365</v>
      </c>
      <c r="F295" s="17" t="s">
        <v>37</v>
      </c>
      <c r="G295" s="37"/>
      <c r="H295" s="37"/>
      <c r="I295" s="39">
        <v>6689.7</v>
      </c>
      <c r="J295" s="39">
        <v>938.3</v>
      </c>
      <c r="K295" s="39">
        <v>938.3</v>
      </c>
      <c r="L295" s="39">
        <f>K295/J295*100</f>
        <v>100</v>
      </c>
      <c r="M295" s="78"/>
      <c r="N295" s="78"/>
      <c r="O295" s="78"/>
    </row>
    <row r="296" spans="1:15" ht="29.25" customHeight="1">
      <c r="A296" s="27">
        <v>288</v>
      </c>
      <c r="B296" s="13" t="s">
        <v>196</v>
      </c>
      <c r="C296" s="29">
        <v>901</v>
      </c>
      <c r="D296" s="16">
        <v>703</v>
      </c>
      <c r="E296" s="17" t="s">
        <v>365</v>
      </c>
      <c r="F296" s="17" t="s">
        <v>67</v>
      </c>
      <c r="G296" s="37"/>
      <c r="H296" s="37"/>
      <c r="I296" s="39">
        <v>1375.1</v>
      </c>
      <c r="J296" s="39">
        <v>0</v>
      </c>
      <c r="K296" s="39">
        <v>0</v>
      </c>
      <c r="L296" s="39">
        <v>0</v>
      </c>
      <c r="M296" s="78"/>
      <c r="N296" s="78"/>
      <c r="O296" s="78"/>
    </row>
    <row r="297" spans="1:15" ht="19.5" customHeight="1">
      <c r="A297" s="27">
        <v>289</v>
      </c>
      <c r="B297" s="13" t="s">
        <v>403</v>
      </c>
      <c r="C297" s="29">
        <v>901</v>
      </c>
      <c r="D297" s="16">
        <v>703</v>
      </c>
      <c r="E297" s="17" t="s">
        <v>365</v>
      </c>
      <c r="F297" s="17" t="s">
        <v>404</v>
      </c>
      <c r="G297" s="37"/>
      <c r="H297" s="37"/>
      <c r="I297" s="39">
        <v>0</v>
      </c>
      <c r="J297" s="39">
        <v>7166.5119999999997</v>
      </c>
      <c r="K297" s="39">
        <v>7166.5119999999997</v>
      </c>
      <c r="L297" s="39">
        <f>K297/J297*100</f>
        <v>100</v>
      </c>
      <c r="M297" s="78"/>
      <c r="N297" s="78"/>
      <c r="O297" s="78"/>
    </row>
    <row r="298" spans="1:15" ht="22.5" customHeight="1">
      <c r="A298" s="27">
        <v>290</v>
      </c>
      <c r="B298" s="13" t="s">
        <v>275</v>
      </c>
      <c r="C298" s="29">
        <v>901</v>
      </c>
      <c r="D298" s="16">
        <v>703</v>
      </c>
      <c r="E298" s="17" t="s">
        <v>365</v>
      </c>
      <c r="F298" s="17" t="s">
        <v>193</v>
      </c>
      <c r="G298" s="37"/>
      <c r="H298" s="37"/>
      <c r="I298" s="39">
        <v>40</v>
      </c>
      <c r="J298" s="39">
        <v>0</v>
      </c>
      <c r="K298" s="39">
        <v>0</v>
      </c>
      <c r="L298" s="39">
        <v>0</v>
      </c>
      <c r="M298" s="78"/>
      <c r="N298" s="78"/>
      <c r="O298" s="78"/>
    </row>
    <row r="299" spans="1:15" ht="19.5" customHeight="1">
      <c r="A299" s="27">
        <v>291</v>
      </c>
      <c r="B299" s="14" t="s">
        <v>265</v>
      </c>
      <c r="C299" s="27">
        <v>901</v>
      </c>
      <c r="D299" s="15">
        <v>707</v>
      </c>
      <c r="E299" s="12"/>
      <c r="F299" s="17"/>
      <c r="G299" s="37"/>
      <c r="H299" s="37"/>
      <c r="I299" s="38">
        <f>SUM(I300+I306)</f>
        <v>3385</v>
      </c>
      <c r="J299" s="38">
        <f>SUM(J300+J306)</f>
        <v>3701.6109999999999</v>
      </c>
      <c r="K299" s="38">
        <f>SUM(K300+K306)</f>
        <v>3660.5499999999997</v>
      </c>
      <c r="L299" s="38">
        <f>K299/J299*100</f>
        <v>98.890726227040062</v>
      </c>
      <c r="M299" s="78"/>
      <c r="N299" s="78"/>
      <c r="O299" s="78"/>
    </row>
    <row r="300" spans="1:15" ht="45.75" customHeight="1">
      <c r="A300" s="27">
        <v>292</v>
      </c>
      <c r="B300" s="14" t="s">
        <v>287</v>
      </c>
      <c r="C300" s="27">
        <v>901</v>
      </c>
      <c r="D300" s="15">
        <v>707</v>
      </c>
      <c r="E300" s="12" t="s">
        <v>139</v>
      </c>
      <c r="F300" s="12"/>
      <c r="G300" s="37"/>
      <c r="H300" s="37"/>
      <c r="I300" s="38">
        <f>SUM(I301)</f>
        <v>29.2</v>
      </c>
      <c r="J300" s="38">
        <f>SUM(J301)</f>
        <v>29.2</v>
      </c>
      <c r="K300" s="38">
        <f>SUM(K301)</f>
        <v>29.2</v>
      </c>
      <c r="L300" s="38">
        <f>SUM(L301)</f>
        <v>100</v>
      </c>
      <c r="M300" s="78"/>
      <c r="N300" s="78"/>
      <c r="O300" s="78"/>
    </row>
    <row r="301" spans="1:15" ht="78" customHeight="1">
      <c r="A301" s="27">
        <v>293</v>
      </c>
      <c r="B301" s="14" t="s">
        <v>263</v>
      </c>
      <c r="C301" s="27">
        <v>901</v>
      </c>
      <c r="D301" s="15">
        <v>707</v>
      </c>
      <c r="E301" s="12" t="s">
        <v>417</v>
      </c>
      <c r="F301" s="12"/>
      <c r="G301" s="37"/>
      <c r="H301" s="37"/>
      <c r="I301" s="38">
        <f>SUM(I302+I304)</f>
        <v>29.2</v>
      </c>
      <c r="J301" s="38">
        <f>SUM(J302+J304)</f>
        <v>29.2</v>
      </c>
      <c r="K301" s="38">
        <f>SUM(K302+K304)</f>
        <v>29.2</v>
      </c>
      <c r="L301" s="38">
        <f>SUM(L302+L304)</f>
        <v>100</v>
      </c>
      <c r="M301" s="78"/>
      <c r="N301" s="78"/>
      <c r="O301" s="78"/>
    </row>
    <row r="302" spans="1:15" ht="66.75" customHeight="1">
      <c r="A302" s="27">
        <v>294</v>
      </c>
      <c r="B302" s="49" t="s">
        <v>270</v>
      </c>
      <c r="C302" s="27">
        <v>901</v>
      </c>
      <c r="D302" s="15">
        <v>707</v>
      </c>
      <c r="E302" s="12" t="s">
        <v>167</v>
      </c>
      <c r="F302" s="12"/>
      <c r="G302" s="37"/>
      <c r="H302" s="37"/>
      <c r="I302" s="38">
        <f>SUM(I303:I303)</f>
        <v>29.2</v>
      </c>
      <c r="J302" s="38">
        <f>SUM(J303:J303)</f>
        <v>0</v>
      </c>
      <c r="K302" s="38">
        <f>SUM(K303:K303)</f>
        <v>0</v>
      </c>
      <c r="L302" s="38">
        <f>SUM(L303:L303)</f>
        <v>0</v>
      </c>
      <c r="M302" s="78"/>
      <c r="N302" s="78"/>
      <c r="O302" s="78"/>
    </row>
    <row r="303" spans="1:15" ht="28.5" customHeight="1">
      <c r="A303" s="27">
        <v>295</v>
      </c>
      <c r="B303" s="13" t="s">
        <v>196</v>
      </c>
      <c r="C303" s="29">
        <v>901</v>
      </c>
      <c r="D303" s="16">
        <v>707</v>
      </c>
      <c r="E303" s="17" t="s">
        <v>167</v>
      </c>
      <c r="F303" s="17" t="s">
        <v>67</v>
      </c>
      <c r="G303" s="37"/>
      <c r="H303" s="37"/>
      <c r="I303" s="39">
        <f>29.2</f>
        <v>29.2</v>
      </c>
      <c r="J303" s="39">
        <f>29.2-29.2</f>
        <v>0</v>
      </c>
      <c r="K303" s="39">
        <f>29.2-29.2</f>
        <v>0</v>
      </c>
      <c r="L303" s="39">
        <f>29.2-29.2</f>
        <v>0</v>
      </c>
      <c r="M303" s="78"/>
      <c r="N303" s="78"/>
      <c r="O303" s="78"/>
    </row>
    <row r="304" spans="1:15" ht="28.5" customHeight="1">
      <c r="A304" s="27">
        <v>296</v>
      </c>
      <c r="B304" s="52" t="s">
        <v>415</v>
      </c>
      <c r="C304" s="27">
        <v>901</v>
      </c>
      <c r="D304" s="15">
        <v>707</v>
      </c>
      <c r="E304" s="12" t="s">
        <v>416</v>
      </c>
      <c r="F304" s="12"/>
      <c r="G304" s="40"/>
      <c r="H304" s="40"/>
      <c r="I304" s="38">
        <f>SUM(I305)</f>
        <v>0</v>
      </c>
      <c r="J304" s="38">
        <f>SUM(J305)</f>
        <v>29.2</v>
      </c>
      <c r="K304" s="38">
        <f>SUM(K305)</f>
        <v>29.2</v>
      </c>
      <c r="L304" s="38">
        <f>SUM(L305)</f>
        <v>100</v>
      </c>
      <c r="M304" s="78"/>
      <c r="N304" s="78"/>
      <c r="O304" s="78"/>
    </row>
    <row r="305" spans="1:15" ht="28.5" customHeight="1">
      <c r="A305" s="27">
        <v>297</v>
      </c>
      <c r="B305" s="13" t="s">
        <v>196</v>
      </c>
      <c r="C305" s="29">
        <v>901</v>
      </c>
      <c r="D305" s="16">
        <v>707</v>
      </c>
      <c r="E305" s="17" t="s">
        <v>416</v>
      </c>
      <c r="F305" s="17" t="s">
        <v>67</v>
      </c>
      <c r="G305" s="37"/>
      <c r="H305" s="37"/>
      <c r="I305" s="39">
        <v>0</v>
      </c>
      <c r="J305" s="39">
        <v>29.2</v>
      </c>
      <c r="K305" s="39">
        <v>29.2</v>
      </c>
      <c r="L305" s="39">
        <f>K305/J305*100</f>
        <v>100</v>
      </c>
      <c r="M305" s="78"/>
      <c r="N305" s="78"/>
      <c r="O305" s="78"/>
    </row>
    <row r="306" spans="1:15" ht="39.75" customHeight="1">
      <c r="A306" s="27">
        <v>298</v>
      </c>
      <c r="B306" s="14" t="s">
        <v>276</v>
      </c>
      <c r="C306" s="27">
        <v>901</v>
      </c>
      <c r="D306" s="15">
        <v>707</v>
      </c>
      <c r="E306" s="12" t="s">
        <v>164</v>
      </c>
      <c r="F306" s="12"/>
      <c r="G306" s="37"/>
      <c r="H306" s="37"/>
      <c r="I306" s="38">
        <f>SUM(I307)</f>
        <v>3355.8</v>
      </c>
      <c r="J306" s="38">
        <f>SUM(J307)</f>
        <v>3672.4110000000001</v>
      </c>
      <c r="K306" s="38">
        <f>SUM(K307)</f>
        <v>3631.35</v>
      </c>
      <c r="L306" s="38">
        <f>K306/J306*100</f>
        <v>98.881906191872318</v>
      </c>
      <c r="M306" s="78"/>
      <c r="N306" s="78"/>
      <c r="O306" s="78"/>
    </row>
    <row r="307" spans="1:15" ht="36" customHeight="1">
      <c r="A307" s="27">
        <v>299</v>
      </c>
      <c r="B307" s="52" t="s">
        <v>256</v>
      </c>
      <c r="C307" s="27">
        <v>901</v>
      </c>
      <c r="D307" s="15">
        <v>707</v>
      </c>
      <c r="E307" s="12" t="s">
        <v>368</v>
      </c>
      <c r="F307" s="12"/>
      <c r="G307" s="37"/>
      <c r="H307" s="37"/>
      <c r="I307" s="38">
        <f>SUM(I308+I312+I314+I317)</f>
        <v>3355.8</v>
      </c>
      <c r="J307" s="38">
        <f>SUM(J308+J312+J314+J317)</f>
        <v>3672.4110000000001</v>
      </c>
      <c r="K307" s="38">
        <f>SUM(K308+K312+K314+K317)</f>
        <v>3631.35</v>
      </c>
      <c r="L307" s="38">
        <f>K307/J307*100</f>
        <v>98.881906191872318</v>
      </c>
      <c r="M307" s="78"/>
      <c r="N307" s="78"/>
      <c r="O307" s="78"/>
    </row>
    <row r="308" spans="1:15" ht="30.75" customHeight="1">
      <c r="A308" s="27">
        <v>300</v>
      </c>
      <c r="B308" s="14" t="s">
        <v>90</v>
      </c>
      <c r="C308" s="27">
        <v>901</v>
      </c>
      <c r="D308" s="15">
        <v>707</v>
      </c>
      <c r="E308" s="12" t="s">
        <v>369</v>
      </c>
      <c r="F308" s="12"/>
      <c r="G308" s="37"/>
      <c r="H308" s="37"/>
      <c r="I308" s="38">
        <f>SUM(I309:I311)</f>
        <v>1469.4</v>
      </c>
      <c r="J308" s="38">
        <f>SUM(J309:J311)</f>
        <v>1731.4630000000002</v>
      </c>
      <c r="K308" s="38">
        <f>SUM(K309:K311)</f>
        <v>1678.6</v>
      </c>
      <c r="L308" s="38">
        <f>K308/J308*100</f>
        <v>96.946917144634313</v>
      </c>
      <c r="M308" s="78"/>
      <c r="N308" s="78"/>
      <c r="O308" s="78"/>
    </row>
    <row r="309" spans="1:15" ht="16.5" customHeight="1">
      <c r="A309" s="27">
        <v>301</v>
      </c>
      <c r="B309" s="13" t="s">
        <v>38</v>
      </c>
      <c r="C309" s="29">
        <v>901</v>
      </c>
      <c r="D309" s="16">
        <v>707</v>
      </c>
      <c r="E309" s="17" t="s">
        <v>369</v>
      </c>
      <c r="F309" s="17" t="s">
        <v>37</v>
      </c>
      <c r="G309" s="37"/>
      <c r="H309" s="37"/>
      <c r="I309" s="39">
        <v>170</v>
      </c>
      <c r="J309" s="39">
        <v>0</v>
      </c>
      <c r="K309" s="39">
        <v>0</v>
      </c>
      <c r="L309" s="39">
        <v>0</v>
      </c>
      <c r="M309" s="78"/>
      <c r="N309" s="78"/>
      <c r="O309" s="78"/>
    </row>
    <row r="310" spans="1:15" ht="32.25" customHeight="1">
      <c r="A310" s="27">
        <v>302</v>
      </c>
      <c r="B310" s="13" t="s">
        <v>196</v>
      </c>
      <c r="C310" s="29">
        <v>901</v>
      </c>
      <c r="D310" s="16">
        <v>707</v>
      </c>
      <c r="E310" s="17" t="s">
        <v>369</v>
      </c>
      <c r="F310" s="17" t="s">
        <v>67</v>
      </c>
      <c r="G310" s="40"/>
      <c r="H310" s="40"/>
      <c r="I310" s="39">
        <v>1299.4000000000001</v>
      </c>
      <c r="J310" s="39">
        <f>435.7+417.2</f>
        <v>852.9</v>
      </c>
      <c r="K310" s="39">
        <v>800</v>
      </c>
      <c r="L310" s="39">
        <f>K310/J310*100</f>
        <v>93.797631609801854</v>
      </c>
      <c r="M310" s="78"/>
      <c r="N310" s="78"/>
      <c r="O310" s="78"/>
    </row>
    <row r="311" spans="1:15" ht="23.25" customHeight="1">
      <c r="A311" s="27">
        <v>303</v>
      </c>
      <c r="B311" s="13" t="s">
        <v>403</v>
      </c>
      <c r="C311" s="29">
        <v>901</v>
      </c>
      <c r="D311" s="16">
        <v>707</v>
      </c>
      <c r="E311" s="17" t="s">
        <v>369</v>
      </c>
      <c r="F311" s="17" t="s">
        <v>404</v>
      </c>
      <c r="G311" s="40"/>
      <c r="H311" s="40"/>
      <c r="I311" s="39">
        <v>0</v>
      </c>
      <c r="J311" s="39">
        <f>1033.7-172.098+16.961</f>
        <v>878.5630000000001</v>
      </c>
      <c r="K311" s="39">
        <v>878.6</v>
      </c>
      <c r="L311" s="39">
        <f>K311/J311*100</f>
        <v>100.00421142251608</v>
      </c>
      <c r="M311" s="78"/>
      <c r="N311" s="78"/>
      <c r="O311" s="78"/>
    </row>
    <row r="312" spans="1:15" ht="35.25" customHeight="1">
      <c r="A312" s="27">
        <v>304</v>
      </c>
      <c r="B312" s="79" t="s">
        <v>450</v>
      </c>
      <c r="C312" s="80">
        <v>901</v>
      </c>
      <c r="D312" s="81">
        <v>707</v>
      </c>
      <c r="E312" s="82" t="s">
        <v>451</v>
      </c>
      <c r="F312" s="82"/>
      <c r="G312" s="83"/>
      <c r="H312" s="83"/>
      <c r="I312" s="84">
        <f>SUM(I313)</f>
        <v>0</v>
      </c>
      <c r="J312" s="84">
        <f>SUM(J313)</f>
        <v>66.397999999999996</v>
      </c>
      <c r="K312" s="84">
        <f>SUM(K313)</f>
        <v>66.400000000000006</v>
      </c>
      <c r="L312" s="84">
        <f>K312/J312*100</f>
        <v>100.00301213891987</v>
      </c>
      <c r="M312" s="78"/>
      <c r="N312" s="78"/>
      <c r="O312" s="78"/>
    </row>
    <row r="313" spans="1:15" ht="23.25" customHeight="1">
      <c r="A313" s="27">
        <v>305</v>
      </c>
      <c r="B313" s="85" t="s">
        <v>403</v>
      </c>
      <c r="C313" s="86">
        <v>901</v>
      </c>
      <c r="D313" s="87">
        <v>707</v>
      </c>
      <c r="E313" s="88" t="s">
        <v>451</v>
      </c>
      <c r="F313" s="88" t="s">
        <v>404</v>
      </c>
      <c r="G313" s="83"/>
      <c r="H313" s="83"/>
      <c r="I313" s="90">
        <v>0</v>
      </c>
      <c r="J313" s="90">
        <v>66.397999999999996</v>
      </c>
      <c r="K313" s="90">
        <v>66.400000000000006</v>
      </c>
      <c r="L313" s="90">
        <f>K313/J313*100</f>
        <v>100.00301213891987</v>
      </c>
      <c r="M313" s="78"/>
      <c r="N313" s="78"/>
      <c r="O313" s="78"/>
    </row>
    <row r="314" spans="1:15" ht="69" customHeight="1">
      <c r="A314" s="27">
        <v>306</v>
      </c>
      <c r="B314" s="41" t="s">
        <v>366</v>
      </c>
      <c r="C314" s="27">
        <v>901</v>
      </c>
      <c r="D314" s="15">
        <v>707</v>
      </c>
      <c r="E314" s="12" t="s">
        <v>370</v>
      </c>
      <c r="F314" s="12"/>
      <c r="G314" s="40"/>
      <c r="H314" s="40"/>
      <c r="I314" s="38">
        <f>SUM(I315:I316)</f>
        <v>208.4</v>
      </c>
      <c r="J314" s="38">
        <f>SUM(J315:J316)</f>
        <v>196.6</v>
      </c>
      <c r="K314" s="38">
        <f>SUM(K315:K316)</f>
        <v>208.4</v>
      </c>
      <c r="L314" s="38">
        <f>K314/J314*100</f>
        <v>106.00203458799594</v>
      </c>
      <c r="M314" s="78"/>
      <c r="N314" s="78"/>
      <c r="O314" s="78"/>
    </row>
    <row r="315" spans="1:15" ht="30" customHeight="1">
      <c r="A315" s="27">
        <v>307</v>
      </c>
      <c r="B315" s="13" t="s">
        <v>196</v>
      </c>
      <c r="C315" s="29">
        <v>901</v>
      </c>
      <c r="D315" s="16">
        <v>707</v>
      </c>
      <c r="E315" s="17" t="s">
        <v>370</v>
      </c>
      <c r="F315" s="17" t="s">
        <v>67</v>
      </c>
      <c r="G315" s="37"/>
      <c r="H315" s="37"/>
      <c r="I315" s="39">
        <v>208.4</v>
      </c>
      <c r="J315" s="39">
        <v>0</v>
      </c>
      <c r="K315" s="39">
        <v>0</v>
      </c>
      <c r="L315" s="39">
        <v>0</v>
      </c>
      <c r="M315" s="78"/>
      <c r="N315" s="78"/>
      <c r="O315" s="78"/>
    </row>
    <row r="316" spans="1:15" ht="20.25" customHeight="1">
      <c r="A316" s="27">
        <v>308</v>
      </c>
      <c r="B316" s="13" t="s">
        <v>403</v>
      </c>
      <c r="C316" s="29">
        <v>901</v>
      </c>
      <c r="D316" s="16">
        <v>707</v>
      </c>
      <c r="E316" s="17" t="s">
        <v>370</v>
      </c>
      <c r="F316" s="17" t="s">
        <v>404</v>
      </c>
      <c r="G316" s="37"/>
      <c r="H316" s="37"/>
      <c r="I316" s="39">
        <v>0</v>
      </c>
      <c r="J316" s="97">
        <f>208.4-11.8</f>
        <v>196.6</v>
      </c>
      <c r="K316" s="97">
        <v>208.4</v>
      </c>
      <c r="L316" s="39">
        <f>K316/J316*100</f>
        <v>106.00203458799594</v>
      </c>
      <c r="M316" s="78"/>
      <c r="N316" s="78"/>
      <c r="O316" s="78"/>
    </row>
    <row r="317" spans="1:15" ht="34.5" customHeight="1">
      <c r="A317" s="27">
        <v>309</v>
      </c>
      <c r="B317" s="14" t="s">
        <v>367</v>
      </c>
      <c r="C317" s="27">
        <v>901</v>
      </c>
      <c r="D317" s="15">
        <v>707</v>
      </c>
      <c r="E317" s="12" t="s">
        <v>371</v>
      </c>
      <c r="F317" s="12"/>
      <c r="G317" s="40"/>
      <c r="H317" s="40"/>
      <c r="I317" s="38">
        <f>SUM(I318:I319)</f>
        <v>1678</v>
      </c>
      <c r="J317" s="38">
        <f>SUM(J318:J319)</f>
        <v>1677.9499999999998</v>
      </c>
      <c r="K317" s="38">
        <f>SUM(K318:K319)</f>
        <v>1677.9499999999998</v>
      </c>
      <c r="L317" s="38">
        <f>K317/J317*100</f>
        <v>100</v>
      </c>
      <c r="M317" s="78"/>
      <c r="N317" s="78"/>
      <c r="O317" s="78"/>
    </row>
    <row r="318" spans="1:15" ht="27" customHeight="1">
      <c r="A318" s="27">
        <v>310</v>
      </c>
      <c r="B318" s="13" t="s">
        <v>196</v>
      </c>
      <c r="C318" s="29">
        <v>901</v>
      </c>
      <c r="D318" s="16">
        <v>707</v>
      </c>
      <c r="E318" s="17" t="s">
        <v>371</v>
      </c>
      <c r="F318" s="17" t="s">
        <v>67</v>
      </c>
      <c r="G318" s="37"/>
      <c r="H318" s="37"/>
      <c r="I318" s="39">
        <f>1646.2+31.8</f>
        <v>1678</v>
      </c>
      <c r="J318" s="39">
        <f>1646.2+31.8-578.45-103.95</f>
        <v>995.59999999999991</v>
      </c>
      <c r="K318" s="39">
        <f>1646.2+31.8-578.45-103.95</f>
        <v>995.59999999999991</v>
      </c>
      <c r="L318" s="39">
        <f>K318/J318*100</f>
        <v>100</v>
      </c>
      <c r="M318" s="78"/>
      <c r="N318" s="78"/>
      <c r="O318" s="78"/>
    </row>
    <row r="319" spans="1:15" ht="20.25" customHeight="1">
      <c r="A319" s="27">
        <v>311</v>
      </c>
      <c r="B319" s="13" t="s">
        <v>403</v>
      </c>
      <c r="C319" s="29">
        <v>901</v>
      </c>
      <c r="D319" s="16">
        <v>707</v>
      </c>
      <c r="E319" s="17" t="s">
        <v>371</v>
      </c>
      <c r="F319" s="17" t="s">
        <v>404</v>
      </c>
      <c r="G319" s="37"/>
      <c r="H319" s="37"/>
      <c r="I319" s="39">
        <v>0</v>
      </c>
      <c r="J319" s="39">
        <f>578.4+103.95</f>
        <v>682.35</v>
      </c>
      <c r="K319" s="39">
        <f>578.4+103.95</f>
        <v>682.35</v>
      </c>
      <c r="L319" s="39">
        <f>K319/J319*100</f>
        <v>100</v>
      </c>
      <c r="M319" s="78"/>
      <c r="N319" s="78"/>
      <c r="O319" s="78"/>
    </row>
    <row r="320" spans="1:15" ht="20.25" customHeight="1">
      <c r="A320" s="27">
        <v>312</v>
      </c>
      <c r="B320" s="14" t="s">
        <v>411</v>
      </c>
      <c r="C320" s="27">
        <v>901</v>
      </c>
      <c r="D320" s="15">
        <v>709</v>
      </c>
      <c r="E320" s="12"/>
      <c r="F320" s="12"/>
      <c r="G320" s="37"/>
      <c r="H320" s="37"/>
      <c r="I320" s="38">
        <f t="shared" ref="I320:L323" si="20">SUM(I321)</f>
        <v>0</v>
      </c>
      <c r="J320" s="38">
        <f t="shared" si="20"/>
        <v>11.8</v>
      </c>
      <c r="K320" s="38">
        <f t="shared" si="20"/>
        <v>0</v>
      </c>
      <c r="L320" s="38">
        <f t="shared" si="20"/>
        <v>0</v>
      </c>
      <c r="M320" s="78"/>
      <c r="N320" s="78"/>
      <c r="O320" s="78"/>
    </row>
    <row r="321" spans="1:15" ht="36.75" customHeight="1">
      <c r="A321" s="27">
        <v>313</v>
      </c>
      <c r="B321" s="14" t="s">
        <v>276</v>
      </c>
      <c r="C321" s="27">
        <v>901</v>
      </c>
      <c r="D321" s="15">
        <v>709</v>
      </c>
      <c r="E321" s="12" t="s">
        <v>164</v>
      </c>
      <c r="F321" s="12"/>
      <c r="G321" s="37"/>
      <c r="H321" s="37"/>
      <c r="I321" s="38">
        <f t="shared" si="20"/>
        <v>0</v>
      </c>
      <c r="J321" s="38">
        <f t="shared" si="20"/>
        <v>11.8</v>
      </c>
      <c r="K321" s="38">
        <f t="shared" si="20"/>
        <v>0</v>
      </c>
      <c r="L321" s="38">
        <f t="shared" si="20"/>
        <v>0</v>
      </c>
      <c r="M321" s="78"/>
      <c r="N321" s="78"/>
      <c r="O321" s="78"/>
    </row>
    <row r="322" spans="1:15" ht="31.5" customHeight="1">
      <c r="A322" s="27">
        <v>314</v>
      </c>
      <c r="B322" s="52" t="s">
        <v>256</v>
      </c>
      <c r="C322" s="27">
        <v>901</v>
      </c>
      <c r="D322" s="15">
        <v>709</v>
      </c>
      <c r="E322" s="12" t="s">
        <v>368</v>
      </c>
      <c r="F322" s="12"/>
      <c r="G322" s="37"/>
      <c r="H322" s="37"/>
      <c r="I322" s="38">
        <f t="shared" si="20"/>
        <v>0</v>
      </c>
      <c r="J322" s="38">
        <f t="shared" si="20"/>
        <v>11.8</v>
      </c>
      <c r="K322" s="38">
        <f t="shared" si="20"/>
        <v>0</v>
      </c>
      <c r="L322" s="38">
        <f t="shared" si="20"/>
        <v>0</v>
      </c>
      <c r="M322" s="78"/>
      <c r="N322" s="78"/>
      <c r="O322" s="78"/>
    </row>
    <row r="323" spans="1:15" ht="57.75" customHeight="1">
      <c r="A323" s="27">
        <v>315</v>
      </c>
      <c r="B323" s="41" t="s">
        <v>366</v>
      </c>
      <c r="C323" s="27">
        <v>901</v>
      </c>
      <c r="D323" s="15">
        <v>709</v>
      </c>
      <c r="E323" s="12" t="s">
        <v>370</v>
      </c>
      <c r="F323" s="12"/>
      <c r="G323" s="37"/>
      <c r="H323" s="37"/>
      <c r="I323" s="38">
        <f t="shared" si="20"/>
        <v>0</v>
      </c>
      <c r="J323" s="38">
        <f t="shared" si="20"/>
        <v>11.8</v>
      </c>
      <c r="K323" s="38">
        <f t="shared" si="20"/>
        <v>0</v>
      </c>
      <c r="L323" s="38">
        <f t="shared" si="20"/>
        <v>0</v>
      </c>
      <c r="M323" s="78"/>
      <c r="N323" s="78"/>
      <c r="O323" s="78"/>
    </row>
    <row r="324" spans="1:15" ht="28.5" customHeight="1">
      <c r="A324" s="27">
        <v>316</v>
      </c>
      <c r="B324" s="13" t="s">
        <v>196</v>
      </c>
      <c r="C324" s="29">
        <v>901</v>
      </c>
      <c r="D324" s="16">
        <v>709</v>
      </c>
      <c r="E324" s="17" t="s">
        <v>370</v>
      </c>
      <c r="F324" s="17" t="s">
        <v>67</v>
      </c>
      <c r="G324" s="37"/>
      <c r="H324" s="37"/>
      <c r="I324" s="39">
        <v>0</v>
      </c>
      <c r="J324" s="39">
        <v>11.8</v>
      </c>
      <c r="K324" s="39">
        <v>0</v>
      </c>
      <c r="L324" s="39">
        <v>0</v>
      </c>
      <c r="M324" s="78"/>
      <c r="N324" s="78"/>
      <c r="O324" s="78"/>
    </row>
    <row r="325" spans="1:15" ht="18.75" customHeight="1">
      <c r="A325" s="27">
        <v>317</v>
      </c>
      <c r="B325" s="61" t="s">
        <v>34</v>
      </c>
      <c r="C325" s="27">
        <v>901</v>
      </c>
      <c r="D325" s="15">
        <v>800</v>
      </c>
      <c r="E325" s="12"/>
      <c r="F325" s="17"/>
      <c r="G325" s="37"/>
      <c r="H325" s="37"/>
      <c r="I325" s="38">
        <f>I326</f>
        <v>29544.255000000001</v>
      </c>
      <c r="J325" s="38">
        <f>J326</f>
        <v>30425.474000000002</v>
      </c>
      <c r="K325" s="38">
        <f>K326</f>
        <v>29995.748000000007</v>
      </c>
      <c r="L325" s="38">
        <f t="shared" ref="L325:L330" si="21">K325/J325*100</f>
        <v>98.587611157676633</v>
      </c>
      <c r="M325" s="78"/>
      <c r="N325" s="78"/>
      <c r="O325" s="78"/>
    </row>
    <row r="326" spans="1:15" ht="15.75" customHeight="1">
      <c r="A326" s="27">
        <v>318</v>
      </c>
      <c r="B326" s="14" t="s">
        <v>23</v>
      </c>
      <c r="C326" s="27">
        <v>901</v>
      </c>
      <c r="D326" s="15">
        <v>801</v>
      </c>
      <c r="E326" s="12"/>
      <c r="F326" s="17"/>
      <c r="G326" s="37"/>
      <c r="H326" s="37"/>
      <c r="I326" s="38">
        <f>SUM(I327)</f>
        <v>29544.255000000001</v>
      </c>
      <c r="J326" s="38">
        <f>SUM(J327)</f>
        <v>30425.474000000002</v>
      </c>
      <c r="K326" s="38">
        <f>SUM(K327)</f>
        <v>29995.748000000007</v>
      </c>
      <c r="L326" s="38">
        <f t="shared" si="21"/>
        <v>98.587611157676633</v>
      </c>
      <c r="M326" s="78"/>
      <c r="N326" s="78"/>
      <c r="O326" s="78"/>
    </row>
    <row r="327" spans="1:15" ht="27" customHeight="1">
      <c r="A327" s="27">
        <v>319</v>
      </c>
      <c r="B327" s="14" t="s">
        <v>272</v>
      </c>
      <c r="C327" s="27">
        <v>901</v>
      </c>
      <c r="D327" s="15">
        <v>801</v>
      </c>
      <c r="E327" s="12" t="s">
        <v>168</v>
      </c>
      <c r="F327" s="17"/>
      <c r="G327" s="37"/>
      <c r="H327" s="37"/>
      <c r="I327" s="38">
        <f>SUM(I328+I332+I334+I337+I339+I341+I345+I347+I349+I351+I353)</f>
        <v>29544.255000000001</v>
      </c>
      <c r="J327" s="38">
        <f>SUM(J328+J332+J334+J337+J339+J341+J345+J347+J349+J351+J353)</f>
        <v>30425.474000000002</v>
      </c>
      <c r="K327" s="38">
        <f>SUM(K328+K332+K334+K337+K339+K341+K345+K347+K349+K351+K353)</f>
        <v>29995.748000000007</v>
      </c>
      <c r="L327" s="38">
        <f t="shared" si="21"/>
        <v>98.587611157676633</v>
      </c>
      <c r="M327" s="78"/>
      <c r="N327" s="78"/>
      <c r="O327" s="78"/>
    </row>
    <row r="328" spans="1:15" ht="25.5">
      <c r="A328" s="27">
        <v>320</v>
      </c>
      <c r="B328" s="14" t="s">
        <v>91</v>
      </c>
      <c r="C328" s="27">
        <v>901</v>
      </c>
      <c r="D328" s="15">
        <v>801</v>
      </c>
      <c r="E328" s="12" t="s">
        <v>169</v>
      </c>
      <c r="F328" s="17"/>
      <c r="G328" s="37"/>
      <c r="H328" s="37"/>
      <c r="I328" s="38">
        <f>SUM(I329:I331)</f>
        <v>15493.6</v>
      </c>
      <c r="J328" s="38">
        <f>SUM(J329:J331)</f>
        <v>15568.292000000001</v>
      </c>
      <c r="K328" s="38">
        <f>SUM(K329:K331)</f>
        <v>15539.7</v>
      </c>
      <c r="L328" s="38">
        <f t="shared" si="21"/>
        <v>99.816344657461457</v>
      </c>
      <c r="M328" s="78"/>
      <c r="N328" s="78"/>
      <c r="O328" s="78"/>
    </row>
    <row r="329" spans="1:15">
      <c r="A329" s="27">
        <v>321</v>
      </c>
      <c r="B329" s="13" t="s">
        <v>38</v>
      </c>
      <c r="C329" s="29">
        <v>901</v>
      </c>
      <c r="D329" s="16">
        <v>801</v>
      </c>
      <c r="E329" s="17" t="s">
        <v>169</v>
      </c>
      <c r="F329" s="17" t="s">
        <v>37</v>
      </c>
      <c r="G329" s="37"/>
      <c r="H329" s="37"/>
      <c r="I329" s="39">
        <f>11392.1</f>
        <v>11392.1</v>
      </c>
      <c r="J329" s="39">
        <f>11392.1+65.519</f>
        <v>11457.619000000001</v>
      </c>
      <c r="K329" s="39">
        <v>11457.6</v>
      </c>
      <c r="L329" s="39">
        <f t="shared" si="21"/>
        <v>99.999834171480131</v>
      </c>
      <c r="M329" s="78"/>
      <c r="N329" s="78"/>
      <c r="O329" s="78"/>
    </row>
    <row r="330" spans="1:15" ht="29.25" customHeight="1">
      <c r="A330" s="27">
        <v>322</v>
      </c>
      <c r="B330" s="13" t="s">
        <v>196</v>
      </c>
      <c r="C330" s="29">
        <v>901</v>
      </c>
      <c r="D330" s="16">
        <v>801</v>
      </c>
      <c r="E330" s="17" t="s">
        <v>169</v>
      </c>
      <c r="F330" s="17" t="s">
        <v>67</v>
      </c>
      <c r="G330" s="37"/>
      <c r="H330" s="37"/>
      <c r="I330" s="39">
        <f>3951.5</f>
        <v>3951.5</v>
      </c>
      <c r="J330" s="39">
        <f>3951.5+95</f>
        <v>4046.5</v>
      </c>
      <c r="K330" s="39">
        <v>4037.9</v>
      </c>
      <c r="L330" s="39">
        <f t="shared" si="21"/>
        <v>99.787470653651312</v>
      </c>
      <c r="M330" s="78"/>
      <c r="N330" s="78"/>
      <c r="O330" s="78"/>
    </row>
    <row r="331" spans="1:15" ht="17.25" customHeight="1">
      <c r="A331" s="27">
        <v>323</v>
      </c>
      <c r="B331" s="13" t="s">
        <v>192</v>
      </c>
      <c r="C331" s="29">
        <v>901</v>
      </c>
      <c r="D331" s="16">
        <v>801</v>
      </c>
      <c r="E331" s="17" t="s">
        <v>169</v>
      </c>
      <c r="F331" s="17" t="s">
        <v>193</v>
      </c>
      <c r="G331" s="37"/>
      <c r="H331" s="37"/>
      <c r="I331" s="39">
        <f>150</f>
        <v>150</v>
      </c>
      <c r="J331" s="39">
        <f>150-85.827</f>
        <v>64.173000000000002</v>
      </c>
      <c r="K331" s="39">
        <v>44.2</v>
      </c>
      <c r="L331" s="39">
        <v>68.8</v>
      </c>
      <c r="M331" s="78"/>
      <c r="N331" s="78"/>
      <c r="O331" s="78"/>
    </row>
    <row r="332" spans="1:15" ht="29.25" customHeight="1">
      <c r="A332" s="27">
        <v>324</v>
      </c>
      <c r="B332" s="79" t="s">
        <v>456</v>
      </c>
      <c r="C332" s="80">
        <v>901</v>
      </c>
      <c r="D332" s="81">
        <v>801</v>
      </c>
      <c r="E332" s="82" t="s">
        <v>457</v>
      </c>
      <c r="F332" s="82"/>
      <c r="G332" s="83"/>
      <c r="H332" s="83"/>
      <c r="I332" s="84">
        <f>SUM(I333)</f>
        <v>0</v>
      </c>
      <c r="J332" s="84">
        <f>SUM(J333)</f>
        <v>768.64200000000005</v>
      </c>
      <c r="K332" s="84">
        <f>SUM(K333)</f>
        <v>768.6</v>
      </c>
      <c r="L332" s="84">
        <f>SUM(L333)</f>
        <v>99.994535817714876</v>
      </c>
      <c r="M332" s="78"/>
      <c r="N332" s="78"/>
      <c r="O332" s="78"/>
    </row>
    <row r="333" spans="1:15" ht="29.25" customHeight="1">
      <c r="A333" s="27">
        <v>325</v>
      </c>
      <c r="B333" s="85" t="s">
        <v>196</v>
      </c>
      <c r="C333" s="86">
        <v>901</v>
      </c>
      <c r="D333" s="87">
        <v>801</v>
      </c>
      <c r="E333" s="88" t="s">
        <v>457</v>
      </c>
      <c r="F333" s="88" t="s">
        <v>67</v>
      </c>
      <c r="G333" s="89"/>
      <c r="H333" s="89"/>
      <c r="I333" s="90">
        <v>0</v>
      </c>
      <c r="J333" s="90">
        <v>768.64200000000005</v>
      </c>
      <c r="K333" s="90">
        <v>768.6</v>
      </c>
      <c r="L333" s="90">
        <f>K333/J333*100</f>
        <v>99.994535817714876</v>
      </c>
      <c r="M333" s="78"/>
      <c r="N333" s="78"/>
      <c r="O333" s="78"/>
    </row>
    <row r="334" spans="1:15" ht="41.25" customHeight="1">
      <c r="A334" s="27">
        <v>326</v>
      </c>
      <c r="B334" s="79" t="s">
        <v>92</v>
      </c>
      <c r="C334" s="80">
        <v>901</v>
      </c>
      <c r="D334" s="81">
        <v>801</v>
      </c>
      <c r="E334" s="82" t="s">
        <v>170</v>
      </c>
      <c r="F334" s="88"/>
      <c r="G334" s="89"/>
      <c r="H334" s="89"/>
      <c r="I334" s="84">
        <f>I335+I336</f>
        <v>4145.3</v>
      </c>
      <c r="J334" s="84">
        <f>J335+J336</f>
        <v>4070.6079999999997</v>
      </c>
      <c r="K334" s="84">
        <f>K335+K336</f>
        <v>4067.2079999999996</v>
      </c>
      <c r="L334" s="84">
        <f>K334/J334*100</f>
        <v>99.916474393997163</v>
      </c>
      <c r="M334" s="78"/>
      <c r="N334" s="78"/>
      <c r="O334" s="78"/>
    </row>
    <row r="335" spans="1:15">
      <c r="A335" s="27">
        <v>327</v>
      </c>
      <c r="B335" s="85" t="s">
        <v>38</v>
      </c>
      <c r="C335" s="86">
        <v>901</v>
      </c>
      <c r="D335" s="87">
        <v>801</v>
      </c>
      <c r="E335" s="88" t="s">
        <v>170</v>
      </c>
      <c r="F335" s="88" t="s">
        <v>37</v>
      </c>
      <c r="G335" s="89"/>
      <c r="H335" s="89"/>
      <c r="I335" s="90">
        <f>3473.2</f>
        <v>3473.2</v>
      </c>
      <c r="J335" s="90">
        <f>3473.2+20.308</f>
        <v>3493.5079999999998</v>
      </c>
      <c r="K335" s="90">
        <f>3473.2+20.308</f>
        <v>3493.5079999999998</v>
      </c>
      <c r="L335" s="90">
        <f>K335/J335*100</f>
        <v>100</v>
      </c>
      <c r="M335" s="78"/>
      <c r="N335" s="78"/>
      <c r="O335" s="78"/>
    </row>
    <row r="336" spans="1:15" ht="29.25" customHeight="1">
      <c r="A336" s="27">
        <v>328</v>
      </c>
      <c r="B336" s="85" t="s">
        <v>196</v>
      </c>
      <c r="C336" s="86">
        <v>901</v>
      </c>
      <c r="D336" s="87">
        <v>801</v>
      </c>
      <c r="E336" s="88" t="s">
        <v>170</v>
      </c>
      <c r="F336" s="88" t="s">
        <v>67</v>
      </c>
      <c r="G336" s="89"/>
      <c r="H336" s="89"/>
      <c r="I336" s="90">
        <f>672.1</f>
        <v>672.1</v>
      </c>
      <c r="J336" s="90">
        <f>672.1-120+25</f>
        <v>577.1</v>
      </c>
      <c r="K336" s="90">
        <v>573.70000000000005</v>
      </c>
      <c r="L336" s="90">
        <f>K336/J336*100</f>
        <v>99.410847340149019</v>
      </c>
      <c r="M336" s="78"/>
      <c r="N336" s="78"/>
      <c r="O336" s="78"/>
    </row>
    <row r="337" spans="1:15" ht="99" customHeight="1">
      <c r="A337" s="27">
        <v>329</v>
      </c>
      <c r="B337" s="52" t="s">
        <v>460</v>
      </c>
      <c r="C337" s="27">
        <v>901</v>
      </c>
      <c r="D337" s="15">
        <v>801</v>
      </c>
      <c r="E337" s="12" t="s">
        <v>461</v>
      </c>
      <c r="F337" s="12"/>
      <c r="G337" s="58"/>
      <c r="H337" s="58"/>
      <c r="I337" s="38">
        <f>SUM(I338)</f>
        <v>0</v>
      </c>
      <c r="J337" s="38">
        <f>SUM(J338)</f>
        <v>204.5</v>
      </c>
      <c r="K337" s="38">
        <f>SUM(K338)</f>
        <v>204.5</v>
      </c>
      <c r="L337" s="38">
        <f>SUM(L338)</f>
        <v>100</v>
      </c>
      <c r="M337" s="78"/>
      <c r="N337" s="78"/>
      <c r="O337" s="78"/>
    </row>
    <row r="338" spans="1:15" ht="29.25" customHeight="1">
      <c r="A338" s="27">
        <v>330</v>
      </c>
      <c r="B338" s="13" t="s">
        <v>196</v>
      </c>
      <c r="C338" s="29">
        <v>901</v>
      </c>
      <c r="D338" s="16">
        <v>801</v>
      </c>
      <c r="E338" s="17" t="s">
        <v>461</v>
      </c>
      <c r="F338" s="17" t="s">
        <v>67</v>
      </c>
      <c r="G338" s="59"/>
      <c r="H338" s="59"/>
      <c r="I338" s="39">
        <v>0</v>
      </c>
      <c r="J338" s="39">
        <v>204.5</v>
      </c>
      <c r="K338" s="39">
        <v>204.5</v>
      </c>
      <c r="L338" s="39">
        <f>K338/J338*100</f>
        <v>100</v>
      </c>
      <c r="M338" s="78"/>
      <c r="N338" s="78"/>
      <c r="O338" s="78"/>
    </row>
    <row r="339" spans="1:15" ht="58.5" customHeight="1">
      <c r="A339" s="27">
        <v>331</v>
      </c>
      <c r="B339" s="52" t="s">
        <v>466</v>
      </c>
      <c r="C339" s="27">
        <v>901</v>
      </c>
      <c r="D339" s="15">
        <v>801</v>
      </c>
      <c r="E339" s="12" t="s">
        <v>467</v>
      </c>
      <c r="F339" s="12"/>
      <c r="G339" s="37"/>
      <c r="H339" s="37"/>
      <c r="I339" s="38">
        <f>SUM(I340)</f>
        <v>0</v>
      </c>
      <c r="J339" s="38">
        <f>SUM(J340)</f>
        <v>26.04</v>
      </c>
      <c r="K339" s="38">
        <f>SUM(K340)</f>
        <v>26.04</v>
      </c>
      <c r="L339" s="38">
        <f>SUM(L340)</f>
        <v>100</v>
      </c>
      <c r="M339" s="78"/>
      <c r="N339" s="78"/>
      <c r="O339" s="78"/>
    </row>
    <row r="340" spans="1:15" ht="29.25" customHeight="1">
      <c r="A340" s="27">
        <v>332</v>
      </c>
      <c r="B340" s="13" t="s">
        <v>70</v>
      </c>
      <c r="C340" s="29">
        <v>901</v>
      </c>
      <c r="D340" s="16">
        <v>801</v>
      </c>
      <c r="E340" s="17" t="s">
        <v>467</v>
      </c>
      <c r="F340" s="17" t="s">
        <v>37</v>
      </c>
      <c r="G340" s="37"/>
      <c r="H340" s="37"/>
      <c r="I340" s="39">
        <v>0</v>
      </c>
      <c r="J340" s="39">
        <v>26.04</v>
      </c>
      <c r="K340" s="39">
        <v>26.04</v>
      </c>
      <c r="L340" s="39">
        <f>K340/J340*100</f>
        <v>100</v>
      </c>
      <c r="M340" s="78"/>
      <c r="N340" s="78"/>
      <c r="O340" s="78"/>
    </row>
    <row r="341" spans="1:15" ht="30.75" customHeight="1">
      <c r="A341" s="27">
        <v>333</v>
      </c>
      <c r="B341" s="14" t="s">
        <v>93</v>
      </c>
      <c r="C341" s="27">
        <v>901</v>
      </c>
      <c r="D341" s="15">
        <v>801</v>
      </c>
      <c r="E341" s="12" t="s">
        <v>171</v>
      </c>
      <c r="F341" s="17"/>
      <c r="G341" s="37"/>
      <c r="H341" s="37"/>
      <c r="I341" s="38">
        <f>SUM(I342:I344)</f>
        <v>3592.7</v>
      </c>
      <c r="J341" s="38">
        <f>SUM(J342:J344)</f>
        <v>3460.9650000000001</v>
      </c>
      <c r="K341" s="38">
        <f>SUM(K342:K344)</f>
        <v>3450.2</v>
      </c>
      <c r="L341" s="38">
        <f>K341/J341*100</f>
        <v>99.688959582081864</v>
      </c>
      <c r="M341" s="78"/>
      <c r="N341" s="78"/>
      <c r="O341" s="78"/>
    </row>
    <row r="342" spans="1:15" ht="18" customHeight="1">
      <c r="A342" s="27">
        <v>334</v>
      </c>
      <c r="B342" s="85" t="s">
        <v>70</v>
      </c>
      <c r="C342" s="86">
        <v>901</v>
      </c>
      <c r="D342" s="87">
        <v>801</v>
      </c>
      <c r="E342" s="88" t="s">
        <v>171</v>
      </c>
      <c r="F342" s="88" t="s">
        <v>37</v>
      </c>
      <c r="G342" s="89"/>
      <c r="H342" s="89"/>
      <c r="I342" s="90">
        <v>1945</v>
      </c>
      <c r="J342" s="90">
        <v>1945</v>
      </c>
      <c r="K342" s="90">
        <v>1940.4</v>
      </c>
      <c r="L342" s="90">
        <f>K342/J342*100</f>
        <v>99.763496143958875</v>
      </c>
      <c r="M342" s="78"/>
      <c r="N342" s="78"/>
      <c r="O342" s="78"/>
    </row>
    <row r="343" spans="1:15" ht="30" customHeight="1">
      <c r="A343" s="27">
        <v>335</v>
      </c>
      <c r="B343" s="85" t="s">
        <v>196</v>
      </c>
      <c r="C343" s="86">
        <v>901</v>
      </c>
      <c r="D343" s="87">
        <v>801</v>
      </c>
      <c r="E343" s="88" t="s">
        <v>171</v>
      </c>
      <c r="F343" s="88" t="s">
        <v>67</v>
      </c>
      <c r="G343" s="89"/>
      <c r="H343" s="89"/>
      <c r="I343" s="90">
        <f>1647.7</f>
        <v>1647.7</v>
      </c>
      <c r="J343" s="90">
        <f>1647.7-79.135-52.6</f>
        <v>1515.9650000000001</v>
      </c>
      <c r="K343" s="90">
        <v>1509.8</v>
      </c>
      <c r="L343" s="90">
        <f>K343/J343*100</f>
        <v>99.593328342013166</v>
      </c>
      <c r="M343" s="78"/>
      <c r="N343" s="78"/>
      <c r="O343" s="78"/>
    </row>
    <row r="344" spans="1:15" ht="18" customHeight="1">
      <c r="A344" s="27">
        <v>336</v>
      </c>
      <c r="B344" s="85" t="s">
        <v>192</v>
      </c>
      <c r="C344" s="86">
        <v>901</v>
      </c>
      <c r="D344" s="87">
        <v>801</v>
      </c>
      <c r="E344" s="88" t="s">
        <v>171</v>
      </c>
      <c r="F344" s="88" t="s">
        <v>193</v>
      </c>
      <c r="G344" s="89"/>
      <c r="H344" s="89"/>
      <c r="I344" s="90">
        <f>2-2</f>
        <v>0</v>
      </c>
      <c r="J344" s="90">
        <f>2-2</f>
        <v>0</v>
      </c>
      <c r="K344" s="90">
        <f>2-2</f>
        <v>0</v>
      </c>
      <c r="L344" s="90">
        <f>2-2</f>
        <v>0</v>
      </c>
      <c r="M344" s="78"/>
      <c r="N344" s="78"/>
      <c r="O344" s="78"/>
    </row>
    <row r="345" spans="1:15" ht="63.75" customHeight="1">
      <c r="A345" s="27">
        <v>337</v>
      </c>
      <c r="B345" s="52" t="s">
        <v>466</v>
      </c>
      <c r="C345" s="27">
        <v>901</v>
      </c>
      <c r="D345" s="15">
        <v>801</v>
      </c>
      <c r="E345" s="12" t="s">
        <v>468</v>
      </c>
      <c r="F345" s="12"/>
      <c r="G345" s="37"/>
      <c r="H345" s="37"/>
      <c r="I345" s="38">
        <f>SUM(I346)</f>
        <v>0</v>
      </c>
      <c r="J345" s="38">
        <f>SUM(J346)</f>
        <v>257.2</v>
      </c>
      <c r="K345" s="38">
        <f>SUM(K346)</f>
        <v>257.2</v>
      </c>
      <c r="L345" s="38">
        <f>SUM(L346)</f>
        <v>100</v>
      </c>
      <c r="M345" s="78"/>
      <c r="N345" s="78"/>
      <c r="O345" s="78"/>
    </row>
    <row r="346" spans="1:15" ht="18" customHeight="1">
      <c r="A346" s="27">
        <v>338</v>
      </c>
      <c r="B346" s="13" t="s">
        <v>70</v>
      </c>
      <c r="C346" s="29">
        <v>901</v>
      </c>
      <c r="D346" s="16">
        <v>801</v>
      </c>
      <c r="E346" s="17" t="s">
        <v>468</v>
      </c>
      <c r="F346" s="17" t="s">
        <v>37</v>
      </c>
      <c r="G346" s="37"/>
      <c r="H346" s="37"/>
      <c r="I346" s="39">
        <v>0</v>
      </c>
      <c r="J346" s="39">
        <v>257.2</v>
      </c>
      <c r="K346" s="39">
        <v>257.2</v>
      </c>
      <c r="L346" s="39">
        <f>K346/J346*100</f>
        <v>100</v>
      </c>
      <c r="M346" s="78"/>
      <c r="N346" s="78"/>
      <c r="O346" s="78"/>
    </row>
    <row r="347" spans="1:15" ht="47.25" customHeight="1">
      <c r="A347" s="27">
        <v>339</v>
      </c>
      <c r="B347" s="79" t="s">
        <v>436</v>
      </c>
      <c r="C347" s="80">
        <v>901</v>
      </c>
      <c r="D347" s="81">
        <v>801</v>
      </c>
      <c r="E347" s="82" t="s">
        <v>437</v>
      </c>
      <c r="F347" s="82"/>
      <c r="G347" s="83"/>
      <c r="H347" s="83"/>
      <c r="I347" s="84">
        <f>SUM(I348)</f>
        <v>0</v>
      </c>
      <c r="J347" s="84">
        <f>SUM(J348)</f>
        <v>227.79999999999998</v>
      </c>
      <c r="K347" s="84">
        <f>SUM(K348)</f>
        <v>227.79999999999998</v>
      </c>
      <c r="L347" s="84">
        <f>SUM(L348)</f>
        <v>100</v>
      </c>
      <c r="M347" s="78"/>
      <c r="N347" s="78"/>
      <c r="O347" s="78"/>
    </row>
    <row r="348" spans="1:15" ht="28.5" customHeight="1">
      <c r="A348" s="27">
        <v>340</v>
      </c>
      <c r="B348" s="85" t="s">
        <v>196</v>
      </c>
      <c r="C348" s="86">
        <v>901</v>
      </c>
      <c r="D348" s="87">
        <v>801</v>
      </c>
      <c r="E348" s="88" t="s">
        <v>437</v>
      </c>
      <c r="F348" s="88" t="s">
        <v>67</v>
      </c>
      <c r="G348" s="89"/>
      <c r="H348" s="89"/>
      <c r="I348" s="90">
        <v>0</v>
      </c>
      <c r="J348" s="90">
        <f>175.2+52.6</f>
        <v>227.79999999999998</v>
      </c>
      <c r="K348" s="90">
        <f>175.2+52.6</f>
        <v>227.79999999999998</v>
      </c>
      <c r="L348" s="90">
        <f>K348/J348*100</f>
        <v>100</v>
      </c>
      <c r="M348" s="78"/>
      <c r="N348" s="78"/>
      <c r="O348" s="78"/>
    </row>
    <row r="349" spans="1:15" ht="45" customHeight="1">
      <c r="A349" s="27">
        <v>341</v>
      </c>
      <c r="B349" s="14" t="s">
        <v>94</v>
      </c>
      <c r="C349" s="27">
        <v>901</v>
      </c>
      <c r="D349" s="15">
        <v>801</v>
      </c>
      <c r="E349" s="12" t="s">
        <v>172</v>
      </c>
      <c r="F349" s="17"/>
      <c r="G349" s="37"/>
      <c r="H349" s="37"/>
      <c r="I349" s="38">
        <f>I350</f>
        <v>240</v>
      </c>
      <c r="J349" s="38">
        <f>J350</f>
        <v>240</v>
      </c>
      <c r="K349" s="38">
        <f>K350</f>
        <v>239.4</v>
      </c>
      <c r="L349" s="38">
        <f>L350</f>
        <v>99.75</v>
      </c>
      <c r="M349" s="78"/>
      <c r="N349" s="78"/>
      <c r="O349" s="78"/>
    </row>
    <row r="350" spans="1:15" ht="29.25" customHeight="1">
      <c r="A350" s="27">
        <v>342</v>
      </c>
      <c r="B350" s="13" t="s">
        <v>196</v>
      </c>
      <c r="C350" s="29">
        <v>901</v>
      </c>
      <c r="D350" s="16">
        <v>801</v>
      </c>
      <c r="E350" s="17" t="s">
        <v>172</v>
      </c>
      <c r="F350" s="17" t="s">
        <v>67</v>
      </c>
      <c r="G350" s="37"/>
      <c r="H350" s="37"/>
      <c r="I350" s="39">
        <v>240</v>
      </c>
      <c r="J350" s="39">
        <v>240</v>
      </c>
      <c r="K350" s="39">
        <v>239.4</v>
      </c>
      <c r="L350" s="39">
        <f>K350/J350*100</f>
        <v>99.75</v>
      </c>
      <c r="M350" s="78"/>
      <c r="N350" s="78"/>
      <c r="O350" s="78"/>
    </row>
    <row r="351" spans="1:15" ht="15" customHeight="1">
      <c r="A351" s="27">
        <v>343</v>
      </c>
      <c r="B351" s="14" t="s">
        <v>95</v>
      </c>
      <c r="C351" s="27">
        <v>901</v>
      </c>
      <c r="D351" s="15">
        <v>801</v>
      </c>
      <c r="E351" s="12" t="s">
        <v>173</v>
      </c>
      <c r="F351" s="17"/>
      <c r="G351" s="37"/>
      <c r="H351" s="37"/>
      <c r="I351" s="38">
        <f>I352</f>
        <v>430</v>
      </c>
      <c r="J351" s="38">
        <f>J352</f>
        <v>453</v>
      </c>
      <c r="K351" s="38">
        <f>K352</f>
        <v>453</v>
      </c>
      <c r="L351" s="38">
        <f>L352</f>
        <v>100</v>
      </c>
      <c r="M351" s="78"/>
      <c r="N351" s="78"/>
      <c r="O351" s="78"/>
    </row>
    <row r="352" spans="1:15" ht="26.25" customHeight="1">
      <c r="A352" s="27">
        <v>344</v>
      </c>
      <c r="B352" s="13" t="s">
        <v>196</v>
      </c>
      <c r="C352" s="29">
        <v>901</v>
      </c>
      <c r="D352" s="16">
        <v>801</v>
      </c>
      <c r="E352" s="17" t="s">
        <v>173</v>
      </c>
      <c r="F352" s="17" t="s">
        <v>67</v>
      </c>
      <c r="G352" s="37"/>
      <c r="H352" s="37"/>
      <c r="I352" s="39">
        <f>430</f>
        <v>430</v>
      </c>
      <c r="J352" s="39">
        <f>430+18+5</f>
        <v>453</v>
      </c>
      <c r="K352" s="39">
        <f>430+18+5</f>
        <v>453</v>
      </c>
      <c r="L352" s="39">
        <f>K352/J352*100</f>
        <v>100</v>
      </c>
      <c r="M352" s="78"/>
      <c r="N352" s="78"/>
      <c r="O352" s="78"/>
    </row>
    <row r="353" spans="1:15" ht="26.25" customHeight="1">
      <c r="A353" s="27">
        <v>345</v>
      </c>
      <c r="B353" s="14" t="s">
        <v>229</v>
      </c>
      <c r="C353" s="27">
        <v>901</v>
      </c>
      <c r="D353" s="15">
        <v>801</v>
      </c>
      <c r="E353" s="12" t="s">
        <v>230</v>
      </c>
      <c r="F353" s="12"/>
      <c r="G353" s="40"/>
      <c r="H353" s="40"/>
      <c r="I353" s="38">
        <f>SUM(I354)</f>
        <v>5642.6549999999997</v>
      </c>
      <c r="J353" s="38">
        <f>SUM(J354)</f>
        <v>5148.4269999999997</v>
      </c>
      <c r="K353" s="38">
        <f>SUM(K354)</f>
        <v>4762.1000000000004</v>
      </c>
      <c r="L353" s="38">
        <f>SUM(L354)</f>
        <v>92.496212920956253</v>
      </c>
      <c r="M353" s="78"/>
      <c r="N353" s="78"/>
      <c r="O353" s="78"/>
    </row>
    <row r="354" spans="1:15" ht="26.25" customHeight="1">
      <c r="A354" s="27">
        <v>346</v>
      </c>
      <c r="B354" s="13" t="s">
        <v>70</v>
      </c>
      <c r="C354" s="29">
        <v>901</v>
      </c>
      <c r="D354" s="16">
        <v>801</v>
      </c>
      <c r="E354" s="17" t="s">
        <v>230</v>
      </c>
      <c r="F354" s="17" t="s">
        <v>37</v>
      </c>
      <c r="G354" s="37"/>
      <c r="H354" s="37"/>
      <c r="I354" s="39">
        <f>5642.655</f>
        <v>5642.6549999999997</v>
      </c>
      <c r="J354" s="39">
        <f>5642.655-417.691-76.537</f>
        <v>5148.4269999999997</v>
      </c>
      <c r="K354" s="39">
        <v>4762.1000000000004</v>
      </c>
      <c r="L354" s="39">
        <f>K354/J354*100</f>
        <v>92.496212920956253</v>
      </c>
      <c r="M354" s="78"/>
      <c r="N354" s="78"/>
      <c r="O354" s="78"/>
    </row>
    <row r="355" spans="1:15" ht="18" customHeight="1">
      <c r="A355" s="27">
        <v>347</v>
      </c>
      <c r="B355" s="14" t="s">
        <v>24</v>
      </c>
      <c r="C355" s="27">
        <v>901</v>
      </c>
      <c r="D355" s="15">
        <v>1000</v>
      </c>
      <c r="E355" s="12"/>
      <c r="F355" s="17"/>
      <c r="G355" s="37"/>
      <c r="H355" s="37"/>
      <c r="I355" s="38">
        <f>SUM(I356+I362+I406)</f>
        <v>34634.400000000001</v>
      </c>
      <c r="J355" s="38">
        <f>SUM(J356+J362+J406)</f>
        <v>32147.515000000007</v>
      </c>
      <c r="K355" s="38">
        <f>SUM(K356+K362+K406)</f>
        <v>28688.500000000007</v>
      </c>
      <c r="L355" s="38">
        <f>K355/J355*100</f>
        <v>89.240179217584938</v>
      </c>
      <c r="M355" s="78"/>
      <c r="N355" s="78"/>
      <c r="O355" s="78"/>
    </row>
    <row r="356" spans="1:15" ht="17.25" customHeight="1">
      <c r="A356" s="27">
        <v>348</v>
      </c>
      <c r="B356" s="14" t="s">
        <v>28</v>
      </c>
      <c r="C356" s="27">
        <v>901</v>
      </c>
      <c r="D356" s="15">
        <v>1001</v>
      </c>
      <c r="E356" s="12"/>
      <c r="F356" s="17"/>
      <c r="G356" s="29"/>
      <c r="H356" s="29"/>
      <c r="I356" s="38">
        <f>SUM(I357)</f>
        <v>2045.2</v>
      </c>
      <c r="J356" s="38">
        <f>SUM(J357)</f>
        <v>2183.1999999999998</v>
      </c>
      <c r="K356" s="38">
        <f>SUM(K357)</f>
        <v>2182.9</v>
      </c>
      <c r="L356" s="38">
        <f>K356/J356*100</f>
        <v>99.986258702821559</v>
      </c>
      <c r="M356" s="78"/>
      <c r="N356" s="78"/>
      <c r="O356" s="78"/>
    </row>
    <row r="357" spans="1:15" ht="39.75" customHeight="1">
      <c r="A357" s="27">
        <v>349</v>
      </c>
      <c r="B357" s="14" t="s">
        <v>384</v>
      </c>
      <c r="C357" s="27">
        <v>901</v>
      </c>
      <c r="D357" s="15">
        <v>1001</v>
      </c>
      <c r="E357" s="12" t="s">
        <v>132</v>
      </c>
      <c r="F357" s="17"/>
      <c r="G357" s="37"/>
      <c r="H357" s="37"/>
      <c r="I357" s="38">
        <f>I358+I360</f>
        <v>2045.2</v>
      </c>
      <c r="J357" s="38">
        <f>J358+J360</f>
        <v>2183.1999999999998</v>
      </c>
      <c r="K357" s="38">
        <f>K358+K360</f>
        <v>2182.9</v>
      </c>
      <c r="L357" s="38">
        <f>K357/J357*100</f>
        <v>99.986258702821559</v>
      </c>
      <c r="M357" s="78"/>
      <c r="N357" s="78"/>
      <c r="O357" s="78"/>
    </row>
    <row r="358" spans="1:15" ht="54.75" customHeight="1">
      <c r="A358" s="27">
        <v>350</v>
      </c>
      <c r="B358" s="42" t="s">
        <v>96</v>
      </c>
      <c r="C358" s="27">
        <v>901</v>
      </c>
      <c r="D358" s="15">
        <v>1001</v>
      </c>
      <c r="E358" s="12" t="s">
        <v>174</v>
      </c>
      <c r="F358" s="17"/>
      <c r="G358" s="37"/>
      <c r="H358" s="37"/>
      <c r="I358" s="38">
        <f>I359</f>
        <v>2045.2</v>
      </c>
      <c r="J358" s="38">
        <f>J359</f>
        <v>2045.2</v>
      </c>
      <c r="K358" s="38">
        <f>K359</f>
        <v>2044.9</v>
      </c>
      <c r="L358" s="38">
        <f>L359</f>
        <v>99.985331507920989</v>
      </c>
      <c r="M358" s="78"/>
      <c r="N358" s="78"/>
      <c r="O358" s="78"/>
    </row>
    <row r="359" spans="1:15" ht="25.5">
      <c r="A359" s="27">
        <v>351</v>
      </c>
      <c r="B359" s="13" t="s">
        <v>42</v>
      </c>
      <c r="C359" s="29">
        <v>901</v>
      </c>
      <c r="D359" s="16">
        <v>1001</v>
      </c>
      <c r="E359" s="17" t="s">
        <v>174</v>
      </c>
      <c r="F359" s="56" t="s">
        <v>41</v>
      </c>
      <c r="G359" s="37"/>
      <c r="H359" s="37"/>
      <c r="I359" s="39">
        <v>2045.2</v>
      </c>
      <c r="J359" s="39">
        <v>2045.2</v>
      </c>
      <c r="K359" s="39">
        <v>2044.9</v>
      </c>
      <c r="L359" s="39">
        <f>K359/J359*100</f>
        <v>99.985331507920989</v>
      </c>
      <c r="M359" s="78"/>
      <c r="N359" s="78"/>
      <c r="O359" s="78"/>
    </row>
    <row r="360" spans="1:15" ht="55.5" customHeight="1">
      <c r="A360" s="27">
        <v>352</v>
      </c>
      <c r="B360" s="42" t="s">
        <v>469</v>
      </c>
      <c r="C360" s="27">
        <v>901</v>
      </c>
      <c r="D360" s="15">
        <v>1001</v>
      </c>
      <c r="E360" s="12" t="s">
        <v>470</v>
      </c>
      <c r="F360" s="11"/>
      <c r="G360" s="40"/>
      <c r="H360" s="40"/>
      <c r="I360" s="38">
        <f>SUM(I361)</f>
        <v>0</v>
      </c>
      <c r="J360" s="38">
        <f>SUM(J361)</f>
        <v>138</v>
      </c>
      <c r="K360" s="38">
        <f>SUM(K361)</f>
        <v>138</v>
      </c>
      <c r="L360" s="38">
        <f>SUM(L361)</f>
        <v>100</v>
      </c>
      <c r="M360" s="78"/>
      <c r="N360" s="78"/>
      <c r="O360" s="78"/>
    </row>
    <row r="361" spans="1:15" ht="29.25" customHeight="1">
      <c r="A361" s="27">
        <v>353</v>
      </c>
      <c r="B361" s="13" t="s">
        <v>42</v>
      </c>
      <c r="C361" s="29">
        <v>901</v>
      </c>
      <c r="D361" s="16">
        <v>1001</v>
      </c>
      <c r="E361" s="17" t="s">
        <v>470</v>
      </c>
      <c r="F361" s="56" t="s">
        <v>41</v>
      </c>
      <c r="G361" s="37"/>
      <c r="H361" s="37"/>
      <c r="I361" s="39">
        <v>0</v>
      </c>
      <c r="J361" s="39">
        <v>138</v>
      </c>
      <c r="K361" s="39">
        <v>138</v>
      </c>
      <c r="L361" s="39">
        <f t="shared" ref="L361:L368" si="22">K361/J361*100</f>
        <v>100</v>
      </c>
      <c r="M361" s="78"/>
      <c r="N361" s="78"/>
      <c r="O361" s="78"/>
    </row>
    <row r="362" spans="1:15" ht="20.25" customHeight="1">
      <c r="A362" s="27">
        <v>354</v>
      </c>
      <c r="B362" s="14" t="s">
        <v>26</v>
      </c>
      <c r="C362" s="27">
        <v>901</v>
      </c>
      <c r="D362" s="15">
        <v>1003</v>
      </c>
      <c r="E362" s="12"/>
      <c r="F362" s="17"/>
      <c r="G362" s="37"/>
      <c r="H362" s="37"/>
      <c r="I362" s="38">
        <f>SUM(I363+I377+I382+I387+I393+I401)</f>
        <v>30573.200000000001</v>
      </c>
      <c r="J362" s="38">
        <f>SUM(J363+J377+J382+J387+J393+J401)</f>
        <v>27992.755000000005</v>
      </c>
      <c r="K362" s="38">
        <f>SUM(K363+K377+K382+K387+K393+K401)</f>
        <v>25032.200000000004</v>
      </c>
      <c r="L362" s="38">
        <f t="shared" si="22"/>
        <v>89.423852707602379</v>
      </c>
      <c r="M362" s="78"/>
      <c r="N362" s="78"/>
      <c r="O362" s="78"/>
    </row>
    <row r="363" spans="1:15" ht="25.5">
      <c r="A363" s="27">
        <v>355</v>
      </c>
      <c r="B363" s="14" t="s">
        <v>392</v>
      </c>
      <c r="C363" s="27">
        <v>901</v>
      </c>
      <c r="D363" s="15">
        <v>1003</v>
      </c>
      <c r="E363" s="12" t="s">
        <v>175</v>
      </c>
      <c r="F363" s="17"/>
      <c r="G363" s="37"/>
      <c r="H363" s="37"/>
      <c r="I363" s="38">
        <f>SUM(I364+I367+I371+I374)</f>
        <v>29532</v>
      </c>
      <c r="J363" s="38">
        <f>SUM(J364+J367+J371+J374)</f>
        <v>24911.640000000003</v>
      </c>
      <c r="K363" s="38">
        <f>SUM(K364+K367+K371+K374)</f>
        <v>22038.900000000005</v>
      </c>
      <c r="L363" s="38">
        <f t="shared" si="22"/>
        <v>88.468282296950349</v>
      </c>
      <c r="M363" s="78"/>
      <c r="N363" s="78"/>
      <c r="O363" s="78"/>
    </row>
    <row r="364" spans="1:15" ht="115.5" customHeight="1">
      <c r="A364" s="27">
        <v>356</v>
      </c>
      <c r="B364" s="14" t="s">
        <v>98</v>
      </c>
      <c r="C364" s="27">
        <v>901</v>
      </c>
      <c r="D364" s="15">
        <v>1003</v>
      </c>
      <c r="E364" s="12" t="s">
        <v>393</v>
      </c>
      <c r="F364" s="17"/>
      <c r="G364" s="37"/>
      <c r="H364" s="37"/>
      <c r="I364" s="38">
        <f>SUM(I365:I366)</f>
        <v>6576</v>
      </c>
      <c r="J364" s="38">
        <f>SUM(J365:J366)</f>
        <v>3161.44</v>
      </c>
      <c r="K364" s="38">
        <f>SUM(K365:K366)</f>
        <v>2845.2</v>
      </c>
      <c r="L364" s="38">
        <f t="shared" si="22"/>
        <v>89.996963409079399</v>
      </c>
      <c r="M364" s="78"/>
      <c r="N364" s="78"/>
      <c r="O364" s="78"/>
    </row>
    <row r="365" spans="1:15" ht="27" customHeight="1">
      <c r="A365" s="27">
        <v>357</v>
      </c>
      <c r="B365" s="13" t="s">
        <v>196</v>
      </c>
      <c r="C365" s="29">
        <v>901</v>
      </c>
      <c r="D365" s="16">
        <v>1003</v>
      </c>
      <c r="E365" s="17" t="s">
        <v>393</v>
      </c>
      <c r="F365" s="17" t="s">
        <v>67</v>
      </c>
      <c r="G365" s="37"/>
      <c r="H365" s="37"/>
      <c r="I365" s="39">
        <v>76</v>
      </c>
      <c r="J365" s="39">
        <v>76</v>
      </c>
      <c r="K365" s="39">
        <v>33</v>
      </c>
      <c r="L365" s="39">
        <f t="shared" si="22"/>
        <v>43.421052631578952</v>
      </c>
      <c r="M365" s="78"/>
      <c r="N365" s="78"/>
      <c r="O365" s="78"/>
    </row>
    <row r="366" spans="1:15" ht="20.25" customHeight="1">
      <c r="A366" s="27">
        <v>358</v>
      </c>
      <c r="B366" s="13" t="s">
        <v>40</v>
      </c>
      <c r="C366" s="29">
        <v>901</v>
      </c>
      <c r="D366" s="16">
        <v>1003</v>
      </c>
      <c r="E366" s="17" t="s">
        <v>393</v>
      </c>
      <c r="F366" s="17" t="s">
        <v>39</v>
      </c>
      <c r="G366" s="37"/>
      <c r="H366" s="37"/>
      <c r="I366" s="39">
        <f>6500</f>
        <v>6500</v>
      </c>
      <c r="J366" s="39">
        <f>6500-2948+44.44-511</f>
        <v>3085.44</v>
      </c>
      <c r="K366" s="39">
        <v>2812.2</v>
      </c>
      <c r="L366" s="39">
        <f t="shared" si="22"/>
        <v>91.144212818917225</v>
      </c>
      <c r="M366" s="78"/>
      <c r="N366" s="78"/>
      <c r="O366" s="78"/>
    </row>
    <row r="367" spans="1:15" ht="102">
      <c r="A367" s="27">
        <v>359</v>
      </c>
      <c r="B367" s="14" t="s">
        <v>97</v>
      </c>
      <c r="C367" s="27">
        <v>901</v>
      </c>
      <c r="D367" s="15">
        <v>1003</v>
      </c>
      <c r="E367" s="12" t="s">
        <v>176</v>
      </c>
      <c r="F367" s="17"/>
      <c r="G367" s="37"/>
      <c r="H367" s="37"/>
      <c r="I367" s="38">
        <f>SUM(I368:I370)</f>
        <v>3228</v>
      </c>
      <c r="J367" s="38">
        <f>SUM(J368:J370)</f>
        <v>3228</v>
      </c>
      <c r="K367" s="38">
        <f>SUM(K368:K370)</f>
        <v>2416.9</v>
      </c>
      <c r="L367" s="38">
        <f t="shared" si="22"/>
        <v>74.872986369268901</v>
      </c>
      <c r="M367" s="78"/>
      <c r="N367" s="78"/>
      <c r="O367" s="78"/>
    </row>
    <row r="368" spans="1:15" ht="38.25">
      <c r="A368" s="27">
        <v>360</v>
      </c>
      <c r="B368" s="13" t="s">
        <v>196</v>
      </c>
      <c r="C368" s="29">
        <v>901</v>
      </c>
      <c r="D368" s="16">
        <v>1003</v>
      </c>
      <c r="E368" s="17" t="s">
        <v>176</v>
      </c>
      <c r="F368" s="17" t="s">
        <v>67</v>
      </c>
      <c r="G368" s="37"/>
      <c r="H368" s="37"/>
      <c r="I368" s="39">
        <f>38</f>
        <v>38</v>
      </c>
      <c r="J368" s="39">
        <f>38+9</f>
        <v>47</v>
      </c>
      <c r="K368" s="39">
        <v>39.6</v>
      </c>
      <c r="L368" s="39">
        <f t="shared" si="22"/>
        <v>84.255319148936167</v>
      </c>
      <c r="M368" s="78"/>
      <c r="N368" s="78"/>
      <c r="O368" s="78"/>
    </row>
    <row r="369" spans="1:15">
      <c r="A369" s="27">
        <v>361</v>
      </c>
      <c r="B369" s="13" t="s">
        <v>40</v>
      </c>
      <c r="C369" s="29">
        <v>901</v>
      </c>
      <c r="D369" s="16">
        <v>1003</v>
      </c>
      <c r="E369" s="17" t="s">
        <v>176</v>
      </c>
      <c r="F369" s="17" t="s">
        <v>39</v>
      </c>
      <c r="G369" s="37"/>
      <c r="H369" s="37"/>
      <c r="I369" s="39">
        <v>3190</v>
      </c>
      <c r="J369" s="39">
        <v>0</v>
      </c>
      <c r="K369" s="39">
        <v>0</v>
      </c>
      <c r="L369" s="39">
        <v>0</v>
      </c>
      <c r="M369" s="78"/>
      <c r="N369" s="78"/>
      <c r="O369" s="78"/>
    </row>
    <row r="370" spans="1:15" ht="25.5">
      <c r="A370" s="27">
        <v>362</v>
      </c>
      <c r="B370" s="13" t="s">
        <v>42</v>
      </c>
      <c r="C370" s="29">
        <v>901</v>
      </c>
      <c r="D370" s="16">
        <v>1003</v>
      </c>
      <c r="E370" s="17" t="s">
        <v>176</v>
      </c>
      <c r="F370" s="17" t="s">
        <v>41</v>
      </c>
      <c r="G370" s="37"/>
      <c r="H370" s="37"/>
      <c r="I370" s="39">
        <v>0</v>
      </c>
      <c r="J370" s="39">
        <f>3190-9</f>
        <v>3181</v>
      </c>
      <c r="K370" s="39">
        <v>2377.3000000000002</v>
      </c>
      <c r="L370" s="39">
        <f>K370/J370*100</f>
        <v>74.734360264067917</v>
      </c>
      <c r="M370" s="78"/>
      <c r="N370" s="78"/>
      <c r="O370" s="78"/>
    </row>
    <row r="371" spans="1:15" ht="130.5" customHeight="1">
      <c r="A371" s="27">
        <v>363</v>
      </c>
      <c r="B371" s="14" t="s">
        <v>99</v>
      </c>
      <c r="C371" s="27">
        <v>901</v>
      </c>
      <c r="D371" s="15">
        <v>1003</v>
      </c>
      <c r="E371" s="12" t="s">
        <v>394</v>
      </c>
      <c r="F371" s="17"/>
      <c r="G371" s="37"/>
      <c r="H371" s="37"/>
      <c r="I371" s="38">
        <f>SUM(I372:I373)</f>
        <v>19728</v>
      </c>
      <c r="J371" s="38">
        <f>SUM(J372:J373)</f>
        <v>18517</v>
      </c>
      <c r="K371" s="38">
        <f>SUM(K372:K373)</f>
        <v>16771.600000000002</v>
      </c>
      <c r="L371" s="38">
        <f>K371/J371*100</f>
        <v>90.574067073500046</v>
      </c>
      <c r="M371" s="103"/>
      <c r="N371" s="78"/>
      <c r="O371" s="78"/>
    </row>
    <row r="372" spans="1:15" ht="28.5" customHeight="1">
      <c r="A372" s="27">
        <v>364</v>
      </c>
      <c r="B372" s="13" t="s">
        <v>196</v>
      </c>
      <c r="C372" s="29">
        <v>901</v>
      </c>
      <c r="D372" s="16">
        <v>1003</v>
      </c>
      <c r="E372" s="17" t="s">
        <v>394</v>
      </c>
      <c r="F372" s="17" t="s">
        <v>67</v>
      </c>
      <c r="G372" s="37"/>
      <c r="H372" s="37"/>
      <c r="I372" s="39">
        <f>228</f>
        <v>228</v>
      </c>
      <c r="J372" s="39">
        <f>228+30</f>
        <v>258</v>
      </c>
      <c r="K372" s="39">
        <v>223.4</v>
      </c>
      <c r="L372" s="39">
        <f>K372/J372*100</f>
        <v>86.589147286821714</v>
      </c>
      <c r="M372" s="78"/>
      <c r="N372" s="78"/>
      <c r="O372" s="78"/>
    </row>
    <row r="373" spans="1:15" ht="16.5" customHeight="1">
      <c r="A373" s="27">
        <v>365</v>
      </c>
      <c r="B373" s="13" t="s">
        <v>40</v>
      </c>
      <c r="C373" s="29">
        <v>901</v>
      </c>
      <c r="D373" s="16">
        <v>1003</v>
      </c>
      <c r="E373" s="17" t="s">
        <v>394</v>
      </c>
      <c r="F373" s="17" t="s">
        <v>39</v>
      </c>
      <c r="G373" s="37"/>
      <c r="H373" s="37"/>
      <c r="I373" s="39">
        <f>19500</f>
        <v>19500</v>
      </c>
      <c r="J373" s="39">
        <f>19500-30-1211</f>
        <v>18259</v>
      </c>
      <c r="K373" s="39">
        <v>16548.2</v>
      </c>
      <c r="L373" s="39">
        <f>K373/J373*100</f>
        <v>90.63037406210637</v>
      </c>
      <c r="M373" s="78"/>
      <c r="N373" s="78"/>
      <c r="O373" s="78"/>
    </row>
    <row r="374" spans="1:15" ht="84" customHeight="1">
      <c r="A374" s="27">
        <v>366</v>
      </c>
      <c r="B374" s="14" t="s">
        <v>396</v>
      </c>
      <c r="C374" s="27">
        <v>901</v>
      </c>
      <c r="D374" s="15">
        <v>1003</v>
      </c>
      <c r="E374" s="12" t="s">
        <v>397</v>
      </c>
      <c r="F374" s="12"/>
      <c r="G374" s="40"/>
      <c r="H374" s="40"/>
      <c r="I374" s="38">
        <f>SUM(I375:I376)</f>
        <v>0</v>
      </c>
      <c r="J374" s="38">
        <f>SUM(J375:J376)</f>
        <v>5.2</v>
      </c>
      <c r="K374" s="38">
        <f>SUM(K375:K376)</f>
        <v>5.2</v>
      </c>
      <c r="L374" s="38">
        <f>SUM(L375:L376)</f>
        <v>100</v>
      </c>
      <c r="M374" s="78"/>
      <c r="N374" s="78"/>
      <c r="O374" s="78"/>
    </row>
    <row r="375" spans="1:15" ht="16.5" customHeight="1">
      <c r="A375" s="27">
        <v>367</v>
      </c>
      <c r="B375" s="13" t="s">
        <v>40</v>
      </c>
      <c r="C375" s="29">
        <v>901</v>
      </c>
      <c r="D375" s="16">
        <v>1003</v>
      </c>
      <c r="E375" s="17" t="s">
        <v>397</v>
      </c>
      <c r="F375" s="17" t="s">
        <v>39</v>
      </c>
      <c r="G375" s="37"/>
      <c r="H375" s="37"/>
      <c r="I375" s="39">
        <v>0</v>
      </c>
      <c r="J375" s="39">
        <v>0</v>
      </c>
      <c r="K375" s="39">
        <v>0</v>
      </c>
      <c r="L375" s="39">
        <v>0</v>
      </c>
      <c r="M375" s="78"/>
      <c r="N375" s="78"/>
      <c r="O375" s="78"/>
    </row>
    <row r="376" spans="1:15" ht="28.5" customHeight="1">
      <c r="A376" s="27">
        <v>368</v>
      </c>
      <c r="B376" s="13" t="s">
        <v>42</v>
      </c>
      <c r="C376" s="29">
        <v>901</v>
      </c>
      <c r="D376" s="16">
        <v>1003</v>
      </c>
      <c r="E376" s="17" t="s">
        <v>397</v>
      </c>
      <c r="F376" s="17" t="s">
        <v>41</v>
      </c>
      <c r="G376" s="37"/>
      <c r="H376" s="37"/>
      <c r="I376" s="39">
        <v>0</v>
      </c>
      <c r="J376" s="39">
        <v>5.2</v>
      </c>
      <c r="K376" s="39">
        <v>5.2</v>
      </c>
      <c r="L376" s="39">
        <f>K376/J376*100</f>
        <v>100</v>
      </c>
      <c r="M376" s="78"/>
      <c r="N376" s="78"/>
      <c r="O376" s="78"/>
    </row>
    <row r="377" spans="1:15" ht="38.25">
      <c r="A377" s="27">
        <v>369</v>
      </c>
      <c r="B377" s="14" t="s">
        <v>294</v>
      </c>
      <c r="C377" s="27">
        <v>901</v>
      </c>
      <c r="D377" s="15">
        <v>1003</v>
      </c>
      <c r="E377" s="12" t="s">
        <v>177</v>
      </c>
      <c r="F377" s="17"/>
      <c r="G377" s="37"/>
      <c r="H377" s="37"/>
      <c r="I377" s="38">
        <f>SUM(I378+I380)</f>
        <v>8.3000000000000007</v>
      </c>
      <c r="J377" s="38">
        <f>SUM(J378+J380)</f>
        <v>18.3</v>
      </c>
      <c r="K377" s="38">
        <f>SUM(K378+K380)</f>
        <v>8.3000000000000007</v>
      </c>
      <c r="L377" s="38">
        <f>K377/J377*100</f>
        <v>45.355191256830601</v>
      </c>
      <c r="M377" s="78"/>
      <c r="N377" s="78"/>
      <c r="O377" s="78"/>
    </row>
    <row r="378" spans="1:15" ht="42" customHeight="1">
      <c r="A378" s="27">
        <v>370</v>
      </c>
      <c r="B378" s="52" t="s">
        <v>372</v>
      </c>
      <c r="C378" s="27">
        <v>901</v>
      </c>
      <c r="D378" s="15">
        <v>1003</v>
      </c>
      <c r="E378" s="11" t="s">
        <v>191</v>
      </c>
      <c r="F378" s="17"/>
      <c r="G378" s="37"/>
      <c r="H378" s="37"/>
      <c r="I378" s="38">
        <f>SUM(I379)</f>
        <v>8.3000000000000007</v>
      </c>
      <c r="J378" s="38">
        <f>SUM(J379)</f>
        <v>8.3000000000000007</v>
      </c>
      <c r="K378" s="38">
        <f>SUM(K379)</f>
        <v>8.3000000000000007</v>
      </c>
      <c r="L378" s="38">
        <f>SUM(L379)</f>
        <v>100</v>
      </c>
      <c r="M378" s="78"/>
      <c r="N378" s="78"/>
      <c r="O378" s="78"/>
    </row>
    <row r="379" spans="1:15" ht="18" customHeight="1">
      <c r="A379" s="27">
        <v>371</v>
      </c>
      <c r="B379" s="13" t="s">
        <v>40</v>
      </c>
      <c r="C379" s="29">
        <v>901</v>
      </c>
      <c r="D379" s="16">
        <v>1003</v>
      </c>
      <c r="E379" s="56" t="s">
        <v>191</v>
      </c>
      <c r="F379" s="56" t="s">
        <v>39</v>
      </c>
      <c r="G379" s="37"/>
      <c r="H379" s="37"/>
      <c r="I379" s="39">
        <v>8.3000000000000007</v>
      </c>
      <c r="J379" s="39">
        <v>8.3000000000000007</v>
      </c>
      <c r="K379" s="39">
        <v>8.3000000000000007</v>
      </c>
      <c r="L379" s="39">
        <f>K379/J379*100</f>
        <v>100</v>
      </c>
      <c r="M379" s="78"/>
      <c r="N379" s="78"/>
      <c r="O379" s="78"/>
    </row>
    <row r="380" spans="1:15" ht="18" customHeight="1">
      <c r="A380" s="27">
        <v>372</v>
      </c>
      <c r="B380" s="14" t="s">
        <v>434</v>
      </c>
      <c r="C380" s="27">
        <v>901</v>
      </c>
      <c r="D380" s="15">
        <v>1003</v>
      </c>
      <c r="E380" s="11" t="s">
        <v>435</v>
      </c>
      <c r="F380" s="11"/>
      <c r="G380" s="40"/>
      <c r="H380" s="40"/>
      <c r="I380" s="38">
        <f>SUM(I381)</f>
        <v>0</v>
      </c>
      <c r="J380" s="38">
        <f>SUM(J381)</f>
        <v>10</v>
      </c>
      <c r="K380" s="38">
        <f>SUM(K381)</f>
        <v>0</v>
      </c>
      <c r="L380" s="38">
        <f>SUM(L381)</f>
        <v>0</v>
      </c>
      <c r="M380" s="78"/>
      <c r="N380" s="78"/>
      <c r="O380" s="78"/>
    </row>
    <row r="381" spans="1:15" ht="26.25" customHeight="1">
      <c r="A381" s="27">
        <v>373</v>
      </c>
      <c r="B381" s="13" t="s">
        <v>196</v>
      </c>
      <c r="C381" s="29">
        <v>901</v>
      </c>
      <c r="D381" s="16">
        <v>1003</v>
      </c>
      <c r="E381" s="56" t="s">
        <v>435</v>
      </c>
      <c r="F381" s="56" t="s">
        <v>67</v>
      </c>
      <c r="G381" s="37"/>
      <c r="H381" s="37"/>
      <c r="I381" s="39">
        <v>0</v>
      </c>
      <c r="J381" s="39">
        <v>10</v>
      </c>
      <c r="K381" s="39">
        <v>0</v>
      </c>
      <c r="L381" s="39">
        <v>0</v>
      </c>
      <c r="M381" s="78"/>
      <c r="N381" s="78"/>
      <c r="O381" s="78"/>
    </row>
    <row r="382" spans="1:15" ht="39" customHeight="1">
      <c r="A382" s="27">
        <v>374</v>
      </c>
      <c r="B382" s="14" t="s">
        <v>433</v>
      </c>
      <c r="C382" s="27">
        <v>901</v>
      </c>
      <c r="D382" s="15">
        <v>1003</v>
      </c>
      <c r="E382" s="11" t="s">
        <v>178</v>
      </c>
      <c r="F382" s="17"/>
      <c r="G382" s="37"/>
      <c r="H382" s="37"/>
      <c r="I382" s="38">
        <f>SUM(I383+I385)</f>
        <v>360</v>
      </c>
      <c r="J382" s="38">
        <f>SUM(J383+J385)</f>
        <v>1598.5</v>
      </c>
      <c r="K382" s="38">
        <f>SUM(K383+K385)</f>
        <v>1598.5</v>
      </c>
      <c r="L382" s="38">
        <f>SUM(L383+L385)</f>
        <v>100</v>
      </c>
      <c r="M382" s="78"/>
      <c r="N382" s="78"/>
      <c r="O382" s="78"/>
    </row>
    <row r="383" spans="1:15" ht="31.5" customHeight="1">
      <c r="A383" s="27">
        <v>375</v>
      </c>
      <c r="B383" s="14" t="s">
        <v>113</v>
      </c>
      <c r="C383" s="27">
        <v>901</v>
      </c>
      <c r="D383" s="15">
        <v>1003</v>
      </c>
      <c r="E383" s="11" t="s">
        <v>373</v>
      </c>
      <c r="F383" s="17"/>
      <c r="G383" s="37"/>
      <c r="H383" s="37"/>
      <c r="I383" s="38">
        <f>I384</f>
        <v>360</v>
      </c>
      <c r="J383" s="38">
        <f>J384</f>
        <v>0</v>
      </c>
      <c r="K383" s="38">
        <f>K384</f>
        <v>0</v>
      </c>
      <c r="L383" s="38">
        <f>L384</f>
        <v>0</v>
      </c>
      <c r="M383" s="78"/>
      <c r="N383" s="78"/>
      <c r="O383" s="78"/>
    </row>
    <row r="384" spans="1:15" ht="25.5">
      <c r="A384" s="27">
        <v>376</v>
      </c>
      <c r="B384" s="13" t="s">
        <v>42</v>
      </c>
      <c r="C384" s="29">
        <v>901</v>
      </c>
      <c r="D384" s="16">
        <v>1003</v>
      </c>
      <c r="E384" s="56" t="s">
        <v>373</v>
      </c>
      <c r="F384" s="17" t="s">
        <v>41</v>
      </c>
      <c r="G384" s="37"/>
      <c r="H384" s="37"/>
      <c r="I384" s="39">
        <v>360</v>
      </c>
      <c r="J384" s="39">
        <f>360-360</f>
        <v>0</v>
      </c>
      <c r="K384" s="39">
        <f>360-360</f>
        <v>0</v>
      </c>
      <c r="L384" s="39">
        <f>360-360</f>
        <v>0</v>
      </c>
      <c r="M384" s="78"/>
      <c r="N384" s="78"/>
      <c r="O384" s="78"/>
    </row>
    <row r="385" spans="1:15" ht="34.5" customHeight="1">
      <c r="A385" s="27">
        <v>377</v>
      </c>
      <c r="B385" s="14" t="s">
        <v>113</v>
      </c>
      <c r="C385" s="27">
        <v>901</v>
      </c>
      <c r="D385" s="15">
        <v>1003</v>
      </c>
      <c r="E385" s="11" t="s">
        <v>432</v>
      </c>
      <c r="F385" s="12"/>
      <c r="G385" s="40"/>
      <c r="H385" s="40"/>
      <c r="I385" s="38">
        <f>SUM(I386)</f>
        <v>0</v>
      </c>
      <c r="J385" s="38">
        <f>SUM(J386)</f>
        <v>1598.5</v>
      </c>
      <c r="K385" s="38">
        <f>SUM(K386)</f>
        <v>1598.5</v>
      </c>
      <c r="L385" s="38">
        <f>SUM(L386)</f>
        <v>100</v>
      </c>
      <c r="M385" s="78"/>
      <c r="N385" s="78"/>
      <c r="O385" s="78"/>
    </row>
    <row r="386" spans="1:15" ht="25.5">
      <c r="A386" s="27">
        <v>378</v>
      </c>
      <c r="B386" s="13" t="s">
        <v>42</v>
      </c>
      <c r="C386" s="29">
        <v>901</v>
      </c>
      <c r="D386" s="16">
        <v>1003</v>
      </c>
      <c r="E386" s="56" t="s">
        <v>432</v>
      </c>
      <c r="F386" s="17" t="s">
        <v>41</v>
      </c>
      <c r="G386" s="37"/>
      <c r="H386" s="37"/>
      <c r="I386" s="39">
        <v>0</v>
      </c>
      <c r="J386" s="39">
        <f>1453+360-214.5</f>
        <v>1598.5</v>
      </c>
      <c r="K386" s="39">
        <f>1453+360-214.5</f>
        <v>1598.5</v>
      </c>
      <c r="L386" s="39">
        <f>K386/J386*100</f>
        <v>100</v>
      </c>
      <c r="M386" s="78"/>
      <c r="N386" s="78"/>
      <c r="O386" s="78"/>
    </row>
    <row r="387" spans="1:15" ht="38.25">
      <c r="A387" s="27">
        <v>379</v>
      </c>
      <c r="B387" s="14" t="s">
        <v>257</v>
      </c>
      <c r="C387" s="27">
        <v>901</v>
      </c>
      <c r="D387" s="15">
        <v>1003</v>
      </c>
      <c r="E387" s="11" t="s">
        <v>260</v>
      </c>
      <c r="F387" s="12"/>
      <c r="G387" s="40"/>
      <c r="H387" s="40"/>
      <c r="I387" s="38">
        <f>SUM(I388)</f>
        <v>637.9</v>
      </c>
      <c r="J387" s="38">
        <f>SUM(J388)</f>
        <v>1430.9</v>
      </c>
      <c r="K387" s="38">
        <f>SUM(K388)</f>
        <v>1345.1</v>
      </c>
      <c r="L387" s="38">
        <f>SUM(L388)</f>
        <v>94.003773848626722</v>
      </c>
      <c r="M387" s="78"/>
      <c r="N387" s="78"/>
      <c r="O387" s="78"/>
    </row>
    <row r="388" spans="1:15" ht="62.25" customHeight="1">
      <c r="A388" s="27">
        <v>380</v>
      </c>
      <c r="B388" s="14" t="s">
        <v>258</v>
      </c>
      <c r="C388" s="27">
        <v>901</v>
      </c>
      <c r="D388" s="15">
        <v>1003</v>
      </c>
      <c r="E388" s="11" t="s">
        <v>414</v>
      </c>
      <c r="F388" s="12"/>
      <c r="G388" s="40"/>
      <c r="H388" s="40"/>
      <c r="I388" s="38">
        <f>SUM(I389+I391)</f>
        <v>637.9</v>
      </c>
      <c r="J388" s="38">
        <f>SUM(J389+J391)</f>
        <v>1430.9</v>
      </c>
      <c r="K388" s="38">
        <f>SUM(K389+K391)</f>
        <v>1345.1</v>
      </c>
      <c r="L388" s="38">
        <f>SUM(L389+L391)</f>
        <v>94.003773848626722</v>
      </c>
      <c r="M388" s="78"/>
      <c r="N388" s="78"/>
      <c r="O388" s="78"/>
    </row>
    <row r="389" spans="1:15" ht="30" customHeight="1">
      <c r="A389" s="27">
        <v>381</v>
      </c>
      <c r="B389" s="14" t="s">
        <v>259</v>
      </c>
      <c r="C389" s="27">
        <v>901</v>
      </c>
      <c r="D389" s="15">
        <v>1003</v>
      </c>
      <c r="E389" s="11" t="s">
        <v>374</v>
      </c>
      <c r="F389" s="12"/>
      <c r="G389" s="40"/>
      <c r="H389" s="40"/>
      <c r="I389" s="38">
        <f>SUM(I390)</f>
        <v>637.9</v>
      </c>
      <c r="J389" s="38">
        <f>SUM(J390)</f>
        <v>0</v>
      </c>
      <c r="K389" s="38">
        <f>SUM(K390)</f>
        <v>0</v>
      </c>
      <c r="L389" s="38">
        <f>SUM(L390)</f>
        <v>0</v>
      </c>
      <c r="M389" s="78"/>
      <c r="N389" s="78"/>
      <c r="O389" s="78"/>
    </row>
    <row r="390" spans="1:15" ht="27.75" customHeight="1">
      <c r="A390" s="27">
        <v>382</v>
      </c>
      <c r="B390" s="13" t="s">
        <v>42</v>
      </c>
      <c r="C390" s="29">
        <v>901</v>
      </c>
      <c r="D390" s="16">
        <v>1003</v>
      </c>
      <c r="E390" s="56" t="s">
        <v>374</v>
      </c>
      <c r="F390" s="17" t="s">
        <v>41</v>
      </c>
      <c r="G390" s="37"/>
      <c r="H390" s="37"/>
      <c r="I390" s="39">
        <f>637.9</f>
        <v>637.9</v>
      </c>
      <c r="J390" s="39">
        <f>637.9-637.9</f>
        <v>0</v>
      </c>
      <c r="K390" s="39">
        <f>637.9-637.9</f>
        <v>0</v>
      </c>
      <c r="L390" s="39">
        <f>637.9-637.9</f>
        <v>0</v>
      </c>
      <c r="M390" s="78"/>
      <c r="N390" s="78"/>
      <c r="O390" s="78"/>
    </row>
    <row r="391" spans="1:15" ht="42" customHeight="1">
      <c r="A391" s="27">
        <v>383</v>
      </c>
      <c r="B391" s="52" t="s">
        <v>412</v>
      </c>
      <c r="C391" s="27">
        <v>901</v>
      </c>
      <c r="D391" s="15">
        <v>1003</v>
      </c>
      <c r="E391" s="11" t="s">
        <v>413</v>
      </c>
      <c r="F391" s="12"/>
      <c r="G391" s="40"/>
      <c r="H391" s="40"/>
      <c r="I391" s="38">
        <f>SUM(I392)</f>
        <v>0</v>
      </c>
      <c r="J391" s="38">
        <f>SUM(J392)</f>
        <v>1430.9</v>
      </c>
      <c r="K391" s="38">
        <f>SUM(K392)</f>
        <v>1345.1</v>
      </c>
      <c r="L391" s="38">
        <f>SUM(L392)</f>
        <v>94.003773848626722</v>
      </c>
      <c r="M391" s="78"/>
      <c r="N391" s="78"/>
      <c r="O391" s="78"/>
    </row>
    <row r="392" spans="1:15" ht="27.75" customHeight="1">
      <c r="A392" s="27">
        <v>384</v>
      </c>
      <c r="B392" s="13" t="s">
        <v>42</v>
      </c>
      <c r="C392" s="29">
        <v>901</v>
      </c>
      <c r="D392" s="16">
        <v>1003</v>
      </c>
      <c r="E392" s="56" t="s">
        <v>413</v>
      </c>
      <c r="F392" s="17" t="s">
        <v>41</v>
      </c>
      <c r="G392" s="37"/>
      <c r="H392" s="37"/>
      <c r="I392" s="39">
        <v>0</v>
      </c>
      <c r="J392" s="39">
        <f>793+637.9</f>
        <v>1430.9</v>
      </c>
      <c r="K392" s="39">
        <v>1345.1</v>
      </c>
      <c r="L392" s="39">
        <f>K392/J392*100</f>
        <v>94.003773848626722</v>
      </c>
      <c r="M392" s="78"/>
      <c r="N392" s="78"/>
      <c r="O392" s="78"/>
    </row>
    <row r="393" spans="1:15" ht="30" customHeight="1">
      <c r="A393" s="27">
        <v>385</v>
      </c>
      <c r="B393" s="52" t="s">
        <v>267</v>
      </c>
      <c r="C393" s="27">
        <v>901</v>
      </c>
      <c r="D393" s="15">
        <v>1003</v>
      </c>
      <c r="E393" s="11" t="s">
        <v>268</v>
      </c>
      <c r="F393" s="12"/>
      <c r="G393" s="40"/>
      <c r="H393" s="40"/>
      <c r="I393" s="38">
        <f>SUM(I394)</f>
        <v>15</v>
      </c>
      <c r="J393" s="38">
        <f>SUM(J394)</f>
        <v>15</v>
      </c>
      <c r="K393" s="38">
        <f>SUM(K394)</f>
        <v>0</v>
      </c>
      <c r="L393" s="38">
        <f>SUM(L394)</f>
        <v>0</v>
      </c>
      <c r="M393" s="78"/>
      <c r="N393" s="78"/>
      <c r="O393" s="78"/>
    </row>
    <row r="394" spans="1:15" ht="33" customHeight="1">
      <c r="A394" s="27">
        <v>386</v>
      </c>
      <c r="B394" s="44" t="s">
        <v>375</v>
      </c>
      <c r="C394" s="27">
        <v>901</v>
      </c>
      <c r="D394" s="15">
        <v>1003</v>
      </c>
      <c r="E394" s="11" t="s">
        <v>269</v>
      </c>
      <c r="F394" s="12"/>
      <c r="G394" s="40"/>
      <c r="H394" s="40"/>
      <c r="I394" s="38">
        <f>SUM(I395+I397+I399)</f>
        <v>15</v>
      </c>
      <c r="J394" s="38">
        <f>SUM(J395+J397+J399)</f>
        <v>15</v>
      </c>
      <c r="K394" s="38">
        <f>SUM(K395+K397+K399)</f>
        <v>0</v>
      </c>
      <c r="L394" s="38">
        <f>SUM(L395+L397+L399)</f>
        <v>0</v>
      </c>
      <c r="M394" s="78"/>
      <c r="N394" s="78"/>
      <c r="O394" s="78"/>
    </row>
    <row r="395" spans="1:15" ht="25.5">
      <c r="A395" s="27">
        <v>387</v>
      </c>
      <c r="B395" s="44" t="s">
        <v>395</v>
      </c>
      <c r="C395" s="27">
        <v>901</v>
      </c>
      <c r="D395" s="15">
        <v>1003</v>
      </c>
      <c r="E395" s="11" t="s">
        <v>378</v>
      </c>
      <c r="F395" s="12"/>
      <c r="G395" s="40"/>
      <c r="H395" s="40"/>
      <c r="I395" s="38">
        <f>SUM(I396)</f>
        <v>5</v>
      </c>
      <c r="J395" s="38">
        <f>SUM(J396)</f>
        <v>0</v>
      </c>
      <c r="K395" s="38">
        <f>SUM(K396)</f>
        <v>0</v>
      </c>
      <c r="L395" s="38">
        <f>SUM(L396)</f>
        <v>0</v>
      </c>
      <c r="M395" s="78"/>
      <c r="N395" s="78"/>
      <c r="O395" s="78"/>
    </row>
    <row r="396" spans="1:15" ht="29.25" customHeight="1">
      <c r="A396" s="27">
        <v>388</v>
      </c>
      <c r="B396" s="13" t="s">
        <v>196</v>
      </c>
      <c r="C396" s="29">
        <v>901</v>
      </c>
      <c r="D396" s="16">
        <v>1003</v>
      </c>
      <c r="E396" s="56" t="s">
        <v>378</v>
      </c>
      <c r="F396" s="17" t="s">
        <v>67</v>
      </c>
      <c r="G396" s="37"/>
      <c r="H396" s="37"/>
      <c r="I396" s="39">
        <f>5</f>
        <v>5</v>
      </c>
      <c r="J396" s="39">
        <f>5-5</f>
        <v>0</v>
      </c>
      <c r="K396" s="39">
        <f>5-5</f>
        <v>0</v>
      </c>
      <c r="L396" s="39">
        <f>5-5</f>
        <v>0</v>
      </c>
      <c r="M396" s="78"/>
      <c r="N396" s="78"/>
      <c r="O396" s="78"/>
    </row>
    <row r="397" spans="1:15" ht="30.75" customHeight="1">
      <c r="A397" s="27">
        <v>389</v>
      </c>
      <c r="B397" s="14" t="s">
        <v>376</v>
      </c>
      <c r="C397" s="27">
        <v>901</v>
      </c>
      <c r="D397" s="15">
        <v>1003</v>
      </c>
      <c r="E397" s="11" t="s">
        <v>379</v>
      </c>
      <c r="F397" s="12"/>
      <c r="G397" s="40"/>
      <c r="H397" s="40"/>
      <c r="I397" s="38">
        <f>SUM(I398)</f>
        <v>5</v>
      </c>
      <c r="J397" s="38">
        <f>SUM(J398)</f>
        <v>0</v>
      </c>
      <c r="K397" s="38">
        <f>SUM(K398)</f>
        <v>0</v>
      </c>
      <c r="L397" s="38">
        <f>SUM(L398)</f>
        <v>0</v>
      </c>
      <c r="M397" s="78"/>
      <c r="N397" s="78"/>
      <c r="O397" s="78"/>
    </row>
    <row r="398" spans="1:15" ht="29.25" customHeight="1">
      <c r="A398" s="27">
        <v>390</v>
      </c>
      <c r="B398" s="13" t="s">
        <v>196</v>
      </c>
      <c r="C398" s="29">
        <v>901</v>
      </c>
      <c r="D398" s="16">
        <v>1003</v>
      </c>
      <c r="E398" s="56" t="s">
        <v>379</v>
      </c>
      <c r="F398" s="17" t="s">
        <v>67</v>
      </c>
      <c r="G398" s="37"/>
      <c r="H398" s="37"/>
      <c r="I398" s="39">
        <f>5</f>
        <v>5</v>
      </c>
      <c r="J398" s="39">
        <f>5-5</f>
        <v>0</v>
      </c>
      <c r="K398" s="39">
        <f>5-5</f>
        <v>0</v>
      </c>
      <c r="L398" s="39">
        <f>5-5</f>
        <v>0</v>
      </c>
      <c r="M398" s="78"/>
      <c r="N398" s="78"/>
      <c r="O398" s="78"/>
    </row>
    <row r="399" spans="1:15" ht="38.25">
      <c r="A399" s="27">
        <v>391</v>
      </c>
      <c r="B399" s="14" t="s">
        <v>377</v>
      </c>
      <c r="C399" s="27">
        <v>901</v>
      </c>
      <c r="D399" s="15">
        <v>1003</v>
      </c>
      <c r="E399" s="11" t="s">
        <v>380</v>
      </c>
      <c r="F399" s="12"/>
      <c r="G399" s="40"/>
      <c r="H399" s="40"/>
      <c r="I399" s="38">
        <f>SUM(I400)</f>
        <v>5</v>
      </c>
      <c r="J399" s="38">
        <f>SUM(J400)</f>
        <v>15</v>
      </c>
      <c r="K399" s="38">
        <f>SUM(K400)</f>
        <v>0</v>
      </c>
      <c r="L399" s="38">
        <f>SUM(L400)</f>
        <v>0</v>
      </c>
      <c r="M399" s="78"/>
      <c r="N399" s="78"/>
      <c r="O399" s="78"/>
    </row>
    <row r="400" spans="1:15" ht="30" customHeight="1">
      <c r="A400" s="27">
        <v>392</v>
      </c>
      <c r="B400" s="13" t="s">
        <v>196</v>
      </c>
      <c r="C400" s="29">
        <v>901</v>
      </c>
      <c r="D400" s="16">
        <v>1003</v>
      </c>
      <c r="E400" s="56" t="s">
        <v>380</v>
      </c>
      <c r="F400" s="17" t="s">
        <v>67</v>
      </c>
      <c r="G400" s="37"/>
      <c r="H400" s="37"/>
      <c r="I400" s="39">
        <f>5</f>
        <v>5</v>
      </c>
      <c r="J400" s="39">
        <f>5+10</f>
        <v>15</v>
      </c>
      <c r="K400" s="39">
        <v>0</v>
      </c>
      <c r="L400" s="39">
        <v>0</v>
      </c>
      <c r="M400" s="78"/>
      <c r="N400" s="78"/>
      <c r="O400" s="78"/>
    </row>
    <row r="401" spans="1:15" ht="17.25" customHeight="1">
      <c r="A401" s="27">
        <v>393</v>
      </c>
      <c r="B401" s="14" t="s">
        <v>63</v>
      </c>
      <c r="C401" s="27">
        <v>901</v>
      </c>
      <c r="D401" s="15">
        <v>1003</v>
      </c>
      <c r="E401" s="11" t="s">
        <v>124</v>
      </c>
      <c r="F401" s="12"/>
      <c r="G401" s="40"/>
      <c r="H401" s="40"/>
      <c r="I401" s="38">
        <f>SUM(I404)</f>
        <v>20</v>
      </c>
      <c r="J401" s="38">
        <f>SUM(J404)</f>
        <v>18.414999999999999</v>
      </c>
      <c r="K401" s="38">
        <f>SUM(K402+K404)</f>
        <v>41.4</v>
      </c>
      <c r="L401" s="38">
        <v>225</v>
      </c>
      <c r="M401" s="78"/>
      <c r="N401" s="78"/>
      <c r="O401" s="78"/>
    </row>
    <row r="402" spans="1:15" ht="17.25" customHeight="1">
      <c r="A402" s="27">
        <v>394</v>
      </c>
      <c r="B402" s="14" t="s">
        <v>7</v>
      </c>
      <c r="C402" s="27">
        <v>901</v>
      </c>
      <c r="D402" s="15">
        <v>1003</v>
      </c>
      <c r="E402" s="11" t="s">
        <v>126</v>
      </c>
      <c r="F402" s="12"/>
      <c r="G402" s="40"/>
      <c r="H402" s="40"/>
      <c r="I402" s="38">
        <v>0</v>
      </c>
      <c r="J402" s="38">
        <v>0</v>
      </c>
      <c r="K402" s="38">
        <f>SUM(K403)</f>
        <v>32.5</v>
      </c>
      <c r="L402" s="38">
        <v>0</v>
      </c>
      <c r="M402" s="78"/>
      <c r="N402" s="78"/>
      <c r="O402" s="78"/>
    </row>
    <row r="403" spans="1:15" ht="17.25" customHeight="1">
      <c r="A403" s="27">
        <v>395</v>
      </c>
      <c r="B403" s="13" t="s">
        <v>42</v>
      </c>
      <c r="C403" s="29">
        <v>901</v>
      </c>
      <c r="D403" s="16">
        <v>1003</v>
      </c>
      <c r="E403" s="56" t="s">
        <v>126</v>
      </c>
      <c r="F403" s="17" t="s">
        <v>41</v>
      </c>
      <c r="G403" s="37"/>
      <c r="H403" s="37"/>
      <c r="I403" s="39">
        <v>0</v>
      </c>
      <c r="J403" s="39">
        <v>0</v>
      </c>
      <c r="K403" s="39">
        <v>32.5</v>
      </c>
      <c r="L403" s="39">
        <v>0</v>
      </c>
      <c r="M403" s="78"/>
      <c r="N403" s="78"/>
      <c r="O403" s="78"/>
    </row>
    <row r="404" spans="1:15" ht="63.75">
      <c r="A404" s="27">
        <v>396</v>
      </c>
      <c r="B404" s="41" t="s">
        <v>117</v>
      </c>
      <c r="C404" s="27">
        <v>901</v>
      </c>
      <c r="D404" s="15">
        <v>1003</v>
      </c>
      <c r="E404" s="11" t="s">
        <v>381</v>
      </c>
      <c r="F404" s="56"/>
      <c r="G404" s="37"/>
      <c r="H404" s="37"/>
      <c r="I404" s="38">
        <f>I405</f>
        <v>20</v>
      </c>
      <c r="J404" s="38">
        <f>J405</f>
        <v>18.414999999999999</v>
      </c>
      <c r="K404" s="38">
        <f>K405</f>
        <v>8.9</v>
      </c>
      <c r="L404" s="38">
        <f>L405</f>
        <v>48.4</v>
      </c>
      <c r="M404" s="78"/>
      <c r="N404" s="78"/>
      <c r="O404" s="78"/>
    </row>
    <row r="405" spans="1:15" ht="38.25">
      <c r="A405" s="27">
        <v>397</v>
      </c>
      <c r="B405" s="13" t="s">
        <v>198</v>
      </c>
      <c r="C405" s="29">
        <v>901</v>
      </c>
      <c r="D405" s="16">
        <v>1003</v>
      </c>
      <c r="E405" s="56" t="s">
        <v>381</v>
      </c>
      <c r="F405" s="56" t="s">
        <v>47</v>
      </c>
      <c r="G405" s="37"/>
      <c r="H405" s="37"/>
      <c r="I405" s="39">
        <f>20</f>
        <v>20</v>
      </c>
      <c r="J405" s="39">
        <f>20-0.3-1.285</f>
        <v>18.414999999999999</v>
      </c>
      <c r="K405" s="39">
        <v>8.9</v>
      </c>
      <c r="L405" s="39">
        <v>48.4</v>
      </c>
      <c r="M405" s="78"/>
      <c r="N405" s="78"/>
      <c r="O405" s="78"/>
    </row>
    <row r="406" spans="1:15" ht="18.75" customHeight="1">
      <c r="A406" s="27">
        <v>398</v>
      </c>
      <c r="B406" s="14" t="s">
        <v>35</v>
      </c>
      <c r="C406" s="27">
        <v>901</v>
      </c>
      <c r="D406" s="15">
        <v>1006</v>
      </c>
      <c r="E406" s="11"/>
      <c r="F406" s="56"/>
      <c r="G406" s="37"/>
      <c r="H406" s="37"/>
      <c r="I406" s="38">
        <f>SUM(I407)</f>
        <v>2016</v>
      </c>
      <c r="J406" s="38">
        <f>SUM(J407)</f>
        <v>1971.56</v>
      </c>
      <c r="K406" s="38">
        <f>SUM(K407)</f>
        <v>1473.4</v>
      </c>
      <c r="L406" s="38">
        <f>SUM(L407)</f>
        <v>74.732698979488333</v>
      </c>
      <c r="M406" s="78"/>
      <c r="N406" s="78"/>
      <c r="O406" s="78"/>
    </row>
    <row r="407" spans="1:15" ht="25.5">
      <c r="A407" s="27">
        <v>399</v>
      </c>
      <c r="B407" s="14" t="s">
        <v>392</v>
      </c>
      <c r="C407" s="27">
        <v>901</v>
      </c>
      <c r="D407" s="15">
        <v>1006</v>
      </c>
      <c r="E407" s="12" t="s">
        <v>175</v>
      </c>
      <c r="F407" s="17"/>
      <c r="G407" s="37"/>
      <c r="H407" s="37"/>
      <c r="I407" s="38">
        <f>I408+I411</f>
        <v>2016</v>
      </c>
      <c r="J407" s="38">
        <f>J408+J411</f>
        <v>1971.56</v>
      </c>
      <c r="K407" s="38">
        <f>K408+K411</f>
        <v>1473.4</v>
      </c>
      <c r="L407" s="38">
        <f t="shared" ref="L407:L413" si="23">K407/J407*100</f>
        <v>74.732698979488333</v>
      </c>
      <c r="M407" s="78"/>
      <c r="N407" s="78"/>
      <c r="O407" s="78"/>
    </row>
    <row r="408" spans="1:15" ht="102">
      <c r="A408" s="27">
        <v>400</v>
      </c>
      <c r="B408" s="14" t="s">
        <v>100</v>
      </c>
      <c r="C408" s="27">
        <v>901</v>
      </c>
      <c r="D408" s="15">
        <v>1006</v>
      </c>
      <c r="E408" s="12" t="s">
        <v>393</v>
      </c>
      <c r="F408" s="17"/>
      <c r="G408" s="37"/>
      <c r="H408" s="37"/>
      <c r="I408" s="38">
        <f>I409+I410</f>
        <v>597</v>
      </c>
      <c r="J408" s="38">
        <f>J409+J410</f>
        <v>552.55999999999995</v>
      </c>
      <c r="K408" s="38">
        <f>K409+K410</f>
        <v>416.9</v>
      </c>
      <c r="L408" s="38">
        <f t="shared" si="23"/>
        <v>75.448820037642975</v>
      </c>
      <c r="M408" s="78"/>
      <c r="N408" s="78"/>
      <c r="O408" s="78"/>
    </row>
    <row r="409" spans="1:15" ht="25.5">
      <c r="A409" s="27">
        <v>401</v>
      </c>
      <c r="B409" s="13" t="s">
        <v>197</v>
      </c>
      <c r="C409" s="29">
        <v>901</v>
      </c>
      <c r="D409" s="16">
        <v>1006</v>
      </c>
      <c r="E409" s="17" t="s">
        <v>393</v>
      </c>
      <c r="F409" s="17" t="s">
        <v>43</v>
      </c>
      <c r="G409" s="37"/>
      <c r="H409" s="37"/>
      <c r="I409" s="39">
        <f>337.5</f>
        <v>337.5</v>
      </c>
      <c r="J409" s="39">
        <f>337.5+60</f>
        <v>397.5</v>
      </c>
      <c r="K409" s="39">
        <v>372.7</v>
      </c>
      <c r="L409" s="39">
        <f t="shared" si="23"/>
        <v>93.76100628930817</v>
      </c>
      <c r="M409" s="78"/>
      <c r="N409" s="78"/>
      <c r="O409" s="78"/>
    </row>
    <row r="410" spans="1:15" ht="30" customHeight="1">
      <c r="A410" s="27">
        <v>402</v>
      </c>
      <c r="B410" s="13" t="s">
        <v>196</v>
      </c>
      <c r="C410" s="29">
        <v>901</v>
      </c>
      <c r="D410" s="16">
        <v>1006</v>
      </c>
      <c r="E410" s="17" t="s">
        <v>393</v>
      </c>
      <c r="F410" s="17" t="s">
        <v>67</v>
      </c>
      <c r="G410" s="37"/>
      <c r="H410" s="37"/>
      <c r="I410" s="39">
        <f>259.5</f>
        <v>259.5</v>
      </c>
      <c r="J410" s="39">
        <f>259.5-44.44-60</f>
        <v>155.06</v>
      </c>
      <c r="K410" s="39">
        <v>44.2</v>
      </c>
      <c r="L410" s="39">
        <f t="shared" si="23"/>
        <v>28.505094802012128</v>
      </c>
      <c r="M410" s="78"/>
      <c r="N410" s="78"/>
      <c r="O410" s="78"/>
    </row>
    <row r="411" spans="1:15" ht="129.75" customHeight="1">
      <c r="A411" s="27">
        <v>403</v>
      </c>
      <c r="B411" s="14" t="s">
        <v>101</v>
      </c>
      <c r="C411" s="27">
        <v>901</v>
      </c>
      <c r="D411" s="15">
        <v>1006</v>
      </c>
      <c r="E411" s="12" t="s">
        <v>394</v>
      </c>
      <c r="F411" s="17"/>
      <c r="G411" s="37"/>
      <c r="H411" s="37"/>
      <c r="I411" s="38">
        <f>I412+I413</f>
        <v>1419</v>
      </c>
      <c r="J411" s="38">
        <f>J412+J413</f>
        <v>1419</v>
      </c>
      <c r="K411" s="38">
        <f>K412+K413</f>
        <v>1056.5</v>
      </c>
      <c r="L411" s="38">
        <f t="shared" si="23"/>
        <v>74.453840732910507</v>
      </c>
      <c r="M411" s="78"/>
      <c r="N411" s="78"/>
      <c r="O411" s="78"/>
    </row>
    <row r="412" spans="1:15" ht="25.5">
      <c r="A412" s="27">
        <v>404</v>
      </c>
      <c r="B412" s="13" t="s">
        <v>197</v>
      </c>
      <c r="C412" s="29">
        <v>901</v>
      </c>
      <c r="D412" s="16">
        <v>1006</v>
      </c>
      <c r="E412" s="17" t="s">
        <v>394</v>
      </c>
      <c r="F412" s="17" t="s">
        <v>43</v>
      </c>
      <c r="G412" s="37"/>
      <c r="H412" s="37"/>
      <c r="I412" s="39">
        <v>856</v>
      </c>
      <c r="J412" s="39">
        <v>856</v>
      </c>
      <c r="K412" s="39">
        <v>797.5</v>
      </c>
      <c r="L412" s="39">
        <f t="shared" si="23"/>
        <v>93.165887850467286</v>
      </c>
      <c r="M412" s="78"/>
      <c r="N412" s="78"/>
      <c r="O412" s="78"/>
    </row>
    <row r="413" spans="1:15" ht="30" customHeight="1">
      <c r="A413" s="27">
        <v>405</v>
      </c>
      <c r="B413" s="13" t="s">
        <v>196</v>
      </c>
      <c r="C413" s="29">
        <v>901</v>
      </c>
      <c r="D413" s="16">
        <v>1006</v>
      </c>
      <c r="E413" s="17" t="s">
        <v>394</v>
      </c>
      <c r="F413" s="17" t="s">
        <v>67</v>
      </c>
      <c r="G413" s="37"/>
      <c r="H413" s="37"/>
      <c r="I413" s="39">
        <v>563</v>
      </c>
      <c r="J413" s="39">
        <v>563</v>
      </c>
      <c r="K413" s="39">
        <v>259</v>
      </c>
      <c r="L413" s="39">
        <f t="shared" si="23"/>
        <v>46.00355239786856</v>
      </c>
      <c r="M413" s="78"/>
      <c r="N413" s="78"/>
      <c r="O413" s="78"/>
    </row>
    <row r="414" spans="1:15">
      <c r="A414" s="27">
        <v>406</v>
      </c>
      <c r="B414" s="14" t="s">
        <v>30</v>
      </c>
      <c r="C414" s="27">
        <v>901</v>
      </c>
      <c r="D414" s="15">
        <v>1100</v>
      </c>
      <c r="E414" s="11"/>
      <c r="F414" s="56"/>
      <c r="G414" s="37"/>
      <c r="H414" s="37"/>
      <c r="I414" s="38">
        <f t="shared" ref="I414:L415" si="24">SUM(I415)</f>
        <v>9971.893</v>
      </c>
      <c r="J414" s="38">
        <f t="shared" si="24"/>
        <v>10112.992999999999</v>
      </c>
      <c r="K414" s="38">
        <f t="shared" si="24"/>
        <v>10112.992999999999</v>
      </c>
      <c r="L414" s="38">
        <f t="shared" si="24"/>
        <v>100</v>
      </c>
      <c r="M414" s="78"/>
      <c r="N414" s="78"/>
      <c r="O414" s="78"/>
    </row>
    <row r="415" spans="1:15">
      <c r="A415" s="27">
        <v>407</v>
      </c>
      <c r="B415" s="14" t="s">
        <v>188</v>
      </c>
      <c r="C415" s="27">
        <v>901</v>
      </c>
      <c r="D415" s="15">
        <v>1102</v>
      </c>
      <c r="E415" s="11"/>
      <c r="F415" s="56"/>
      <c r="G415" s="37"/>
      <c r="H415" s="37"/>
      <c r="I415" s="38">
        <f t="shared" si="24"/>
        <v>9971.893</v>
      </c>
      <c r="J415" s="38">
        <f t="shared" si="24"/>
        <v>10112.992999999999</v>
      </c>
      <c r="K415" s="38">
        <f t="shared" si="24"/>
        <v>10112.992999999999</v>
      </c>
      <c r="L415" s="38">
        <f t="shared" si="24"/>
        <v>100</v>
      </c>
      <c r="M415" s="78"/>
      <c r="N415" s="78"/>
      <c r="O415" s="78"/>
    </row>
    <row r="416" spans="1:15" ht="51">
      <c r="A416" s="27">
        <v>408</v>
      </c>
      <c r="B416" s="14" t="s">
        <v>287</v>
      </c>
      <c r="C416" s="27">
        <v>901</v>
      </c>
      <c r="D416" s="15">
        <v>1102</v>
      </c>
      <c r="E416" s="12" t="s">
        <v>139</v>
      </c>
      <c r="F416" s="17"/>
      <c r="G416" s="37"/>
      <c r="H416" s="37"/>
      <c r="I416" s="38">
        <f>SUM(I417+I419+I423)</f>
        <v>9971.893</v>
      </c>
      <c r="J416" s="38">
        <f>SUM(J417+J419+J423)</f>
        <v>10112.992999999999</v>
      </c>
      <c r="K416" s="38">
        <f>SUM(K417+K419+K423)</f>
        <v>10112.992999999999</v>
      </c>
      <c r="L416" s="38">
        <f>K416/J416*100</f>
        <v>100</v>
      </c>
      <c r="M416" s="78"/>
      <c r="N416" s="78"/>
      <c r="O416" s="78"/>
    </row>
    <row r="417" spans="1:15" ht="29.25" customHeight="1">
      <c r="A417" s="27">
        <v>409</v>
      </c>
      <c r="B417" s="14" t="s">
        <v>112</v>
      </c>
      <c r="C417" s="27">
        <v>901</v>
      </c>
      <c r="D417" s="15">
        <v>1102</v>
      </c>
      <c r="E417" s="12" t="s">
        <v>186</v>
      </c>
      <c r="F417" s="17"/>
      <c r="G417" s="37"/>
      <c r="H417" s="37"/>
      <c r="I417" s="38">
        <f>I418</f>
        <v>70</v>
      </c>
      <c r="J417" s="38">
        <f>J418</f>
        <v>114.3</v>
      </c>
      <c r="K417" s="38">
        <f>K418</f>
        <v>114.3</v>
      </c>
      <c r="L417" s="38">
        <f>L418</f>
        <v>100</v>
      </c>
      <c r="M417" s="78"/>
      <c r="N417" s="78"/>
      <c r="O417" s="78"/>
    </row>
    <row r="418" spans="1:15" ht="28.5" customHeight="1">
      <c r="A418" s="27">
        <v>410</v>
      </c>
      <c r="B418" s="13" t="s">
        <v>196</v>
      </c>
      <c r="C418" s="29">
        <v>901</v>
      </c>
      <c r="D418" s="16">
        <v>1102</v>
      </c>
      <c r="E418" s="17" t="s">
        <v>186</v>
      </c>
      <c r="F418" s="17" t="s">
        <v>67</v>
      </c>
      <c r="G418" s="37"/>
      <c r="H418" s="37"/>
      <c r="I418" s="39">
        <f>70</f>
        <v>70</v>
      </c>
      <c r="J418" s="39">
        <f>70+44.3</f>
        <v>114.3</v>
      </c>
      <c r="K418" s="39">
        <f>70+44.3</f>
        <v>114.3</v>
      </c>
      <c r="L418" s="39">
        <f>K418/J418*100</f>
        <v>100</v>
      </c>
      <c r="M418" s="78"/>
      <c r="N418" s="78"/>
      <c r="O418" s="78"/>
    </row>
    <row r="419" spans="1:15" ht="25.5">
      <c r="A419" s="27">
        <v>411</v>
      </c>
      <c r="B419" s="14" t="s">
        <v>102</v>
      </c>
      <c r="C419" s="27">
        <v>901</v>
      </c>
      <c r="D419" s="15">
        <v>1102</v>
      </c>
      <c r="E419" s="12" t="s">
        <v>187</v>
      </c>
      <c r="F419" s="17"/>
      <c r="G419" s="37"/>
      <c r="H419" s="37"/>
      <c r="I419" s="38">
        <f>SUM(I420:I422)</f>
        <v>9901.893</v>
      </c>
      <c r="J419" s="38">
        <f>SUM(J420:J422)</f>
        <v>9931.0929999999989</v>
      </c>
      <c r="K419" s="38">
        <f>SUM(K420:K422)</f>
        <v>9931.0929999999989</v>
      </c>
      <c r="L419" s="38">
        <f>K419/J419*100</f>
        <v>100</v>
      </c>
      <c r="M419" s="78"/>
      <c r="N419" s="78"/>
      <c r="O419" s="78"/>
    </row>
    <row r="420" spans="1:15">
      <c r="A420" s="27">
        <v>412</v>
      </c>
      <c r="B420" s="13" t="s">
        <v>70</v>
      </c>
      <c r="C420" s="29">
        <v>901</v>
      </c>
      <c r="D420" s="16">
        <v>1102</v>
      </c>
      <c r="E420" s="17" t="s">
        <v>187</v>
      </c>
      <c r="F420" s="17" t="s">
        <v>37</v>
      </c>
      <c r="G420" s="37"/>
      <c r="H420" s="37"/>
      <c r="I420" s="39">
        <f>6005.3</f>
        <v>6005.3</v>
      </c>
      <c r="J420" s="39">
        <f>6005.3-30-0.494+183.623</f>
        <v>6158.4290000000001</v>
      </c>
      <c r="K420" s="39">
        <f>6005.3-30-0.494+183.623</f>
        <v>6158.4290000000001</v>
      </c>
      <c r="L420" s="39">
        <f>K420/J420*100</f>
        <v>100</v>
      </c>
      <c r="M420" s="78"/>
      <c r="N420" s="78"/>
      <c r="O420" s="78"/>
    </row>
    <row r="421" spans="1:15" ht="25.5">
      <c r="A421" s="27">
        <v>413</v>
      </c>
      <c r="B421" s="13" t="s">
        <v>103</v>
      </c>
      <c r="C421" s="29">
        <v>901</v>
      </c>
      <c r="D421" s="16">
        <v>1102</v>
      </c>
      <c r="E421" s="17" t="s">
        <v>187</v>
      </c>
      <c r="F421" s="17" t="s">
        <v>67</v>
      </c>
      <c r="G421" s="37"/>
      <c r="H421" s="37"/>
      <c r="I421" s="39">
        <f>3856.593</f>
        <v>3856.5929999999998</v>
      </c>
      <c r="J421" s="39">
        <f>3856.593-70+22.5-145.104+3.098-50</f>
        <v>3617.087</v>
      </c>
      <c r="K421" s="39">
        <f>3856.593-70+22.5-145.104+3.098-50</f>
        <v>3617.087</v>
      </c>
      <c r="L421" s="39">
        <f>K421/J421*100</f>
        <v>100</v>
      </c>
      <c r="M421" s="78"/>
      <c r="N421" s="78"/>
      <c r="O421" s="78"/>
    </row>
    <row r="422" spans="1:15" ht="17.25" customHeight="1">
      <c r="A422" s="27">
        <v>414</v>
      </c>
      <c r="B422" s="13" t="s">
        <v>192</v>
      </c>
      <c r="C422" s="29">
        <v>901</v>
      </c>
      <c r="D422" s="16">
        <v>1102</v>
      </c>
      <c r="E422" s="17" t="s">
        <v>187</v>
      </c>
      <c r="F422" s="17" t="s">
        <v>193</v>
      </c>
      <c r="G422" s="37"/>
      <c r="H422" s="37"/>
      <c r="I422" s="39">
        <f>40</f>
        <v>40</v>
      </c>
      <c r="J422" s="39">
        <f>40+70+7.5-11.923+50</f>
        <v>155.577</v>
      </c>
      <c r="K422" s="39">
        <f>40+70+7.5-11.923+50</f>
        <v>155.577</v>
      </c>
      <c r="L422" s="39">
        <f>K422/J422*100</f>
        <v>100</v>
      </c>
      <c r="M422" s="78"/>
      <c r="N422" s="78"/>
      <c r="O422" s="78"/>
    </row>
    <row r="423" spans="1:15" ht="27" customHeight="1">
      <c r="A423" s="27">
        <v>415</v>
      </c>
      <c r="B423" s="91" t="s">
        <v>438</v>
      </c>
      <c r="C423" s="80">
        <v>901</v>
      </c>
      <c r="D423" s="81">
        <v>1102</v>
      </c>
      <c r="E423" s="82" t="s">
        <v>439</v>
      </c>
      <c r="F423" s="82"/>
      <c r="G423" s="83"/>
      <c r="H423" s="83"/>
      <c r="I423" s="84">
        <f>SUM(I424)</f>
        <v>0</v>
      </c>
      <c r="J423" s="84">
        <f>SUM(J424)</f>
        <v>67.599999999999994</v>
      </c>
      <c r="K423" s="84">
        <f>SUM(K424)</f>
        <v>67.599999999999994</v>
      </c>
      <c r="L423" s="84">
        <f>SUM(L424)</f>
        <v>100</v>
      </c>
      <c r="M423" s="78"/>
      <c r="N423" s="78"/>
      <c r="O423" s="78"/>
    </row>
    <row r="424" spans="1:15" ht="29.25" customHeight="1">
      <c r="A424" s="27">
        <v>416</v>
      </c>
      <c r="B424" s="85" t="s">
        <v>103</v>
      </c>
      <c r="C424" s="86">
        <v>901</v>
      </c>
      <c r="D424" s="87">
        <v>1102</v>
      </c>
      <c r="E424" s="88" t="s">
        <v>439</v>
      </c>
      <c r="F424" s="88" t="s">
        <v>67</v>
      </c>
      <c r="G424" s="89"/>
      <c r="H424" s="89"/>
      <c r="I424" s="90">
        <v>0</v>
      </c>
      <c r="J424" s="90">
        <v>67.599999999999994</v>
      </c>
      <c r="K424" s="90">
        <v>67.599999999999994</v>
      </c>
      <c r="L424" s="90">
        <f>K424/J424*100</f>
        <v>100</v>
      </c>
      <c r="M424" s="78"/>
      <c r="N424" s="78"/>
      <c r="O424" s="78"/>
    </row>
    <row r="425" spans="1:15">
      <c r="A425" s="27">
        <v>417</v>
      </c>
      <c r="B425" s="14" t="s">
        <v>51</v>
      </c>
      <c r="C425" s="27">
        <v>901</v>
      </c>
      <c r="D425" s="15">
        <v>1200</v>
      </c>
      <c r="E425" s="12"/>
      <c r="F425" s="17"/>
      <c r="G425" s="37"/>
      <c r="H425" s="37"/>
      <c r="I425" s="38">
        <f t="shared" ref="I425:L426" si="25">SUM(I426)</f>
        <v>353</v>
      </c>
      <c r="J425" s="38">
        <f t="shared" si="25"/>
        <v>353</v>
      </c>
      <c r="K425" s="38">
        <f t="shared" si="25"/>
        <v>353</v>
      </c>
      <c r="L425" s="38">
        <f t="shared" si="25"/>
        <v>100</v>
      </c>
      <c r="M425" s="78"/>
      <c r="N425" s="78"/>
      <c r="O425" s="78"/>
    </row>
    <row r="426" spans="1:15" ht="17.25" customHeight="1">
      <c r="A426" s="27">
        <v>418</v>
      </c>
      <c r="B426" s="14" t="s">
        <v>52</v>
      </c>
      <c r="C426" s="27">
        <v>901</v>
      </c>
      <c r="D426" s="15">
        <v>1202</v>
      </c>
      <c r="E426" s="12"/>
      <c r="F426" s="17"/>
      <c r="G426" s="37"/>
      <c r="H426" s="37"/>
      <c r="I426" s="38">
        <f t="shared" si="25"/>
        <v>353</v>
      </c>
      <c r="J426" s="38">
        <f t="shared" si="25"/>
        <v>353</v>
      </c>
      <c r="K426" s="38">
        <f t="shared" si="25"/>
        <v>353</v>
      </c>
      <c r="L426" s="38">
        <f t="shared" si="25"/>
        <v>100</v>
      </c>
      <c r="M426" s="78"/>
      <c r="N426" s="78"/>
      <c r="O426" s="78"/>
    </row>
    <row r="427" spans="1:15" ht="41.25" customHeight="1">
      <c r="A427" s="27">
        <v>419</v>
      </c>
      <c r="B427" s="14" t="s">
        <v>384</v>
      </c>
      <c r="C427" s="27">
        <v>901</v>
      </c>
      <c r="D427" s="15">
        <v>1202</v>
      </c>
      <c r="E427" s="12" t="s">
        <v>132</v>
      </c>
      <c r="F427" s="17"/>
      <c r="G427" s="37"/>
      <c r="H427" s="37"/>
      <c r="I427" s="38">
        <f>I428</f>
        <v>353</v>
      </c>
      <c r="J427" s="38">
        <f>J428</f>
        <v>353</v>
      </c>
      <c r="K427" s="38">
        <f>K428</f>
        <v>353</v>
      </c>
      <c r="L427" s="38">
        <f>L428</f>
        <v>100</v>
      </c>
      <c r="M427" s="78"/>
      <c r="N427" s="78"/>
      <c r="O427" s="78"/>
    </row>
    <row r="428" spans="1:15" ht="31.5" customHeight="1">
      <c r="A428" s="27">
        <v>420</v>
      </c>
      <c r="B428" s="14" t="s">
        <v>104</v>
      </c>
      <c r="C428" s="27">
        <v>901</v>
      </c>
      <c r="D428" s="15">
        <v>1202</v>
      </c>
      <c r="E428" s="12" t="s">
        <v>179</v>
      </c>
      <c r="F428" s="17"/>
      <c r="G428" s="37"/>
      <c r="H428" s="37"/>
      <c r="I428" s="38">
        <f>SUM(I429)</f>
        <v>353</v>
      </c>
      <c r="J428" s="38">
        <f>SUM(J429)</f>
        <v>353</v>
      </c>
      <c r="K428" s="38">
        <f>SUM(K429)</f>
        <v>353</v>
      </c>
      <c r="L428" s="38">
        <f>SUM(L429)</f>
        <v>100</v>
      </c>
      <c r="M428" s="78"/>
      <c r="N428" s="78"/>
      <c r="O428" s="78"/>
    </row>
    <row r="429" spans="1:15" ht="21" customHeight="1">
      <c r="A429" s="27">
        <v>421</v>
      </c>
      <c r="B429" s="37" t="s">
        <v>383</v>
      </c>
      <c r="C429" s="29">
        <v>901</v>
      </c>
      <c r="D429" s="16">
        <v>1202</v>
      </c>
      <c r="E429" s="17" t="s">
        <v>179</v>
      </c>
      <c r="F429" s="17" t="s">
        <v>382</v>
      </c>
      <c r="G429" s="37"/>
      <c r="H429" s="37"/>
      <c r="I429" s="39">
        <v>353</v>
      </c>
      <c r="J429" s="39">
        <v>353</v>
      </c>
      <c r="K429" s="39">
        <v>353</v>
      </c>
      <c r="L429" s="39">
        <f>K429/J429*100</f>
        <v>100</v>
      </c>
      <c r="M429" s="78"/>
      <c r="N429" s="78"/>
      <c r="O429" s="78"/>
    </row>
    <row r="430" spans="1:15" ht="22.5" customHeight="1">
      <c r="A430" s="27">
        <v>422</v>
      </c>
      <c r="B430" s="14" t="s">
        <v>5</v>
      </c>
      <c r="C430" s="27">
        <v>901</v>
      </c>
      <c r="D430" s="15">
        <v>1300</v>
      </c>
      <c r="E430" s="12"/>
      <c r="F430" s="17"/>
      <c r="G430" s="37"/>
      <c r="H430" s="37"/>
      <c r="I430" s="38">
        <f t="shared" ref="I430:L432" si="26">SUM(I431)</f>
        <v>0.5</v>
      </c>
      <c r="J430" s="38">
        <f t="shared" si="26"/>
        <v>0.5</v>
      </c>
      <c r="K430" s="38">
        <f t="shared" si="26"/>
        <v>0.2</v>
      </c>
      <c r="L430" s="38">
        <f t="shared" si="26"/>
        <v>40</v>
      </c>
      <c r="M430" s="78"/>
      <c r="N430" s="78"/>
      <c r="O430" s="78"/>
    </row>
    <row r="431" spans="1:15" ht="29.25" customHeight="1">
      <c r="A431" s="27">
        <v>423</v>
      </c>
      <c r="B431" s="14" t="s">
        <v>189</v>
      </c>
      <c r="C431" s="27">
        <v>901</v>
      </c>
      <c r="D431" s="15">
        <v>1301</v>
      </c>
      <c r="E431" s="12"/>
      <c r="F431" s="17"/>
      <c r="G431" s="37"/>
      <c r="H431" s="37"/>
      <c r="I431" s="38">
        <f t="shared" si="26"/>
        <v>0.5</v>
      </c>
      <c r="J431" s="38">
        <f t="shared" si="26"/>
        <v>0.5</v>
      </c>
      <c r="K431" s="38">
        <f t="shared" si="26"/>
        <v>0.2</v>
      </c>
      <c r="L431" s="38">
        <f t="shared" si="26"/>
        <v>40</v>
      </c>
      <c r="M431" s="78"/>
      <c r="N431" s="78"/>
      <c r="O431" s="78"/>
    </row>
    <row r="432" spans="1:15" ht="39" customHeight="1">
      <c r="A432" s="27">
        <v>424</v>
      </c>
      <c r="B432" s="14" t="s">
        <v>384</v>
      </c>
      <c r="C432" s="27">
        <v>901</v>
      </c>
      <c r="D432" s="15">
        <v>1301</v>
      </c>
      <c r="E432" s="12" t="s">
        <v>132</v>
      </c>
      <c r="F432" s="17"/>
      <c r="G432" s="37"/>
      <c r="H432" s="37"/>
      <c r="I432" s="38">
        <f t="shared" si="26"/>
        <v>0.5</v>
      </c>
      <c r="J432" s="38">
        <f t="shared" si="26"/>
        <v>0.5</v>
      </c>
      <c r="K432" s="38">
        <f t="shared" si="26"/>
        <v>0.2</v>
      </c>
      <c r="L432" s="38">
        <f t="shared" si="26"/>
        <v>40</v>
      </c>
      <c r="M432" s="78"/>
      <c r="N432" s="78"/>
      <c r="O432" s="78"/>
    </row>
    <row r="433" spans="1:15" ht="27" customHeight="1">
      <c r="A433" s="27">
        <v>425</v>
      </c>
      <c r="B433" s="14" t="s">
        <v>106</v>
      </c>
      <c r="C433" s="27">
        <v>901</v>
      </c>
      <c r="D433" s="15">
        <v>1301</v>
      </c>
      <c r="E433" s="12" t="s">
        <v>180</v>
      </c>
      <c r="F433" s="17"/>
      <c r="G433" s="37"/>
      <c r="H433" s="37"/>
      <c r="I433" s="38">
        <f>I434</f>
        <v>0.5</v>
      </c>
      <c r="J433" s="38">
        <f>J434</f>
        <v>0.5</v>
      </c>
      <c r="K433" s="38">
        <f>K434</f>
        <v>0.2</v>
      </c>
      <c r="L433" s="38">
        <f>L434</f>
        <v>40</v>
      </c>
      <c r="M433" s="78"/>
      <c r="N433" s="78"/>
      <c r="O433" s="78"/>
    </row>
    <row r="434" spans="1:15" ht="20.25" customHeight="1">
      <c r="A434" s="27">
        <v>426</v>
      </c>
      <c r="B434" s="13" t="s">
        <v>261</v>
      </c>
      <c r="C434" s="29">
        <v>901</v>
      </c>
      <c r="D434" s="16">
        <v>1301</v>
      </c>
      <c r="E434" s="17" t="s">
        <v>180</v>
      </c>
      <c r="F434" s="17" t="s">
        <v>114</v>
      </c>
      <c r="G434" s="37"/>
      <c r="H434" s="37"/>
      <c r="I434" s="39">
        <v>0.5</v>
      </c>
      <c r="J434" s="39">
        <v>0.5</v>
      </c>
      <c r="K434" s="39">
        <v>0.2</v>
      </c>
      <c r="L434" s="39">
        <f>K434/J434*100</f>
        <v>40</v>
      </c>
      <c r="M434" s="78"/>
      <c r="N434" s="78"/>
      <c r="O434" s="78"/>
    </row>
    <row r="435" spans="1:15" ht="15">
      <c r="A435" s="27">
        <v>427</v>
      </c>
      <c r="B435" s="28" t="s">
        <v>118</v>
      </c>
      <c r="C435" s="27">
        <v>912</v>
      </c>
      <c r="D435" s="15"/>
      <c r="E435" s="12"/>
      <c r="F435" s="17"/>
      <c r="G435" s="37"/>
      <c r="H435" s="37"/>
      <c r="I435" s="62">
        <f>SUM(I436+I443)</f>
        <v>1620.3000000000002</v>
      </c>
      <c r="J435" s="62">
        <f>SUM(J436+J443)</f>
        <v>1608.537</v>
      </c>
      <c r="K435" s="62">
        <f>SUM(K436+K443)</f>
        <v>1591.6</v>
      </c>
      <c r="L435" s="62">
        <f>K435/J435*100</f>
        <v>98.947055616376872</v>
      </c>
      <c r="M435" s="78"/>
      <c r="N435" s="78"/>
      <c r="O435" s="78"/>
    </row>
    <row r="436" spans="1:15" ht="15" customHeight="1">
      <c r="A436" s="27">
        <v>428</v>
      </c>
      <c r="B436" s="14" t="s">
        <v>4</v>
      </c>
      <c r="C436" s="27">
        <v>912</v>
      </c>
      <c r="D436" s="30">
        <v>100</v>
      </c>
      <c r="E436" s="12"/>
      <c r="F436" s="17"/>
      <c r="G436" s="37"/>
      <c r="H436" s="37"/>
      <c r="I436" s="62">
        <f>SUM(I437)</f>
        <v>1470.3000000000002</v>
      </c>
      <c r="J436" s="62">
        <f>SUM(J437)</f>
        <v>1458.537</v>
      </c>
      <c r="K436" s="62">
        <f>SUM(K437)</f>
        <v>1441.6</v>
      </c>
      <c r="L436" s="62">
        <f>K436/J436*100</f>
        <v>98.838767888644568</v>
      </c>
      <c r="M436" s="78"/>
      <c r="N436" s="78"/>
      <c r="O436" s="78"/>
    </row>
    <row r="437" spans="1:15" ht="38.25">
      <c r="A437" s="27">
        <v>429</v>
      </c>
      <c r="B437" s="14" t="s">
        <v>120</v>
      </c>
      <c r="C437" s="27">
        <v>912</v>
      </c>
      <c r="D437" s="15">
        <v>103</v>
      </c>
      <c r="E437" s="12"/>
      <c r="F437" s="17"/>
      <c r="G437" s="37"/>
      <c r="H437" s="37"/>
      <c r="I437" s="38">
        <f>SUM(I439+I441)</f>
        <v>1470.3000000000002</v>
      </c>
      <c r="J437" s="38">
        <f>SUM(J439+J441)</f>
        <v>1458.537</v>
      </c>
      <c r="K437" s="38">
        <f>SUM(K439+K441)</f>
        <v>1441.6</v>
      </c>
      <c r="L437" s="38">
        <f>K437/J437*100</f>
        <v>98.838767888644568</v>
      </c>
      <c r="M437" s="78"/>
      <c r="N437" s="78"/>
      <c r="O437" s="78"/>
    </row>
    <row r="438" spans="1:15" ht="16.5" customHeight="1">
      <c r="A438" s="27">
        <v>430</v>
      </c>
      <c r="B438" s="14" t="s">
        <v>63</v>
      </c>
      <c r="C438" s="27">
        <v>912</v>
      </c>
      <c r="D438" s="55">
        <v>103</v>
      </c>
      <c r="E438" s="63" t="s">
        <v>124</v>
      </c>
      <c r="F438" s="56"/>
      <c r="G438" s="37"/>
      <c r="H438" s="37"/>
      <c r="I438" s="38">
        <f>SUM(I439+I441)</f>
        <v>1470.3000000000002</v>
      </c>
      <c r="J438" s="38">
        <f>SUM(J439+J441)</f>
        <v>1458.537</v>
      </c>
      <c r="K438" s="38">
        <f>SUM(K439+K441)</f>
        <v>1441.6</v>
      </c>
      <c r="L438" s="38">
        <f>K438/J438*100</f>
        <v>98.838767888644568</v>
      </c>
      <c r="M438" s="78"/>
      <c r="N438" s="78"/>
      <c r="O438" s="78"/>
    </row>
    <row r="439" spans="1:15" ht="26.25" customHeight="1">
      <c r="A439" s="27">
        <v>431</v>
      </c>
      <c r="B439" s="14" t="s">
        <v>181</v>
      </c>
      <c r="C439" s="27">
        <v>912</v>
      </c>
      <c r="D439" s="55">
        <v>103</v>
      </c>
      <c r="E439" s="63" t="s">
        <v>122</v>
      </c>
      <c r="F439" s="56"/>
      <c r="G439" s="37"/>
      <c r="H439" s="37"/>
      <c r="I439" s="38">
        <f>SUM(I440)</f>
        <v>693.1</v>
      </c>
      <c r="J439" s="38">
        <f>SUM(J440)</f>
        <v>795.61200000000008</v>
      </c>
      <c r="K439" s="38">
        <f>SUM(K440)</f>
        <v>783.1</v>
      </c>
      <c r="L439" s="38">
        <f>SUM(L440)</f>
        <v>98.427374147197369</v>
      </c>
      <c r="M439" s="78"/>
      <c r="N439" s="78"/>
      <c r="O439" s="78"/>
    </row>
    <row r="440" spans="1:15" ht="20.25" customHeight="1">
      <c r="A440" s="27">
        <v>432</v>
      </c>
      <c r="B440" s="13" t="s">
        <v>66</v>
      </c>
      <c r="C440" s="29">
        <v>912</v>
      </c>
      <c r="D440" s="57">
        <v>103</v>
      </c>
      <c r="E440" s="64" t="s">
        <v>122</v>
      </c>
      <c r="F440" s="56" t="s">
        <v>43</v>
      </c>
      <c r="G440" s="37"/>
      <c r="H440" s="37"/>
      <c r="I440" s="39">
        <f>693.1</f>
        <v>693.1</v>
      </c>
      <c r="J440" s="39">
        <f>693.1+102.512</f>
        <v>795.61200000000008</v>
      </c>
      <c r="K440" s="39">
        <v>783.1</v>
      </c>
      <c r="L440" s="39">
        <f>K440/J440*100</f>
        <v>98.427374147197369</v>
      </c>
      <c r="M440" s="78"/>
      <c r="N440" s="78"/>
      <c r="O440" s="78"/>
    </row>
    <row r="441" spans="1:15" ht="25.5">
      <c r="A441" s="27">
        <v>433</v>
      </c>
      <c r="B441" s="14" t="s">
        <v>64</v>
      </c>
      <c r="C441" s="27">
        <v>912</v>
      </c>
      <c r="D441" s="55">
        <v>103</v>
      </c>
      <c r="E441" s="63" t="s">
        <v>123</v>
      </c>
      <c r="F441" s="56"/>
      <c r="G441" s="37"/>
      <c r="H441" s="37"/>
      <c r="I441" s="38">
        <f>I442</f>
        <v>777.2</v>
      </c>
      <c r="J441" s="38">
        <f>J442</f>
        <v>662.92499999999995</v>
      </c>
      <c r="K441" s="38">
        <f>K442</f>
        <v>658.5</v>
      </c>
      <c r="L441" s="38">
        <f>L442</f>
        <v>99.332503676886532</v>
      </c>
      <c r="M441" s="78"/>
      <c r="N441" s="78"/>
      <c r="O441" s="78"/>
    </row>
    <row r="442" spans="1:15" ht="25.5">
      <c r="A442" s="27">
        <v>434</v>
      </c>
      <c r="B442" s="13" t="s">
        <v>197</v>
      </c>
      <c r="C442" s="29">
        <v>912</v>
      </c>
      <c r="D442" s="57">
        <v>103</v>
      </c>
      <c r="E442" s="64" t="s">
        <v>123</v>
      </c>
      <c r="F442" s="17" t="s">
        <v>43</v>
      </c>
      <c r="G442" s="37"/>
      <c r="H442" s="37"/>
      <c r="I442" s="39">
        <f>777.2</f>
        <v>777.2</v>
      </c>
      <c r="J442" s="39">
        <f>777.2-11.763-102.512</f>
        <v>662.92499999999995</v>
      </c>
      <c r="K442" s="39">
        <v>658.5</v>
      </c>
      <c r="L442" s="39">
        <f>K442/J442*100</f>
        <v>99.332503676886532</v>
      </c>
      <c r="M442" s="78"/>
      <c r="N442" s="78"/>
      <c r="O442" s="78"/>
    </row>
    <row r="443" spans="1:15">
      <c r="A443" s="27">
        <v>435</v>
      </c>
      <c r="B443" s="14" t="s">
        <v>51</v>
      </c>
      <c r="C443" s="27">
        <v>912</v>
      </c>
      <c r="D443" s="15">
        <v>1200</v>
      </c>
      <c r="E443" s="64"/>
      <c r="F443" s="17"/>
      <c r="G443" s="37"/>
      <c r="H443" s="37"/>
      <c r="I443" s="62">
        <f t="shared" ref="I443:L446" si="27">SUM(I444)</f>
        <v>150</v>
      </c>
      <c r="J443" s="62">
        <f t="shared" si="27"/>
        <v>150</v>
      </c>
      <c r="K443" s="62">
        <f t="shared" si="27"/>
        <v>150</v>
      </c>
      <c r="L443" s="62">
        <f t="shared" si="27"/>
        <v>100</v>
      </c>
      <c r="M443" s="78"/>
      <c r="N443" s="78"/>
      <c r="O443" s="78"/>
    </row>
    <row r="444" spans="1:15">
      <c r="A444" s="27">
        <v>436</v>
      </c>
      <c r="B444" s="14" t="s">
        <v>52</v>
      </c>
      <c r="C444" s="27">
        <v>912</v>
      </c>
      <c r="D444" s="15">
        <v>1202</v>
      </c>
      <c r="E444" s="64"/>
      <c r="F444" s="17"/>
      <c r="G444" s="37"/>
      <c r="H444" s="37"/>
      <c r="I444" s="62">
        <f t="shared" si="27"/>
        <v>150</v>
      </c>
      <c r="J444" s="62">
        <f t="shared" si="27"/>
        <v>150</v>
      </c>
      <c r="K444" s="62">
        <f t="shared" si="27"/>
        <v>150</v>
      </c>
      <c r="L444" s="62">
        <f t="shared" si="27"/>
        <v>100</v>
      </c>
      <c r="M444" s="78"/>
      <c r="N444" s="78"/>
      <c r="O444" s="78"/>
    </row>
    <row r="445" spans="1:15" ht="15.75" customHeight="1">
      <c r="A445" s="27">
        <v>437</v>
      </c>
      <c r="B445" s="14" t="s">
        <v>63</v>
      </c>
      <c r="C445" s="27">
        <v>912</v>
      </c>
      <c r="D445" s="15">
        <v>1202</v>
      </c>
      <c r="E445" s="12" t="s">
        <v>124</v>
      </c>
      <c r="F445" s="17"/>
      <c r="G445" s="37"/>
      <c r="H445" s="37"/>
      <c r="I445" s="62">
        <f t="shared" si="27"/>
        <v>150</v>
      </c>
      <c r="J445" s="62">
        <f t="shared" si="27"/>
        <v>150</v>
      </c>
      <c r="K445" s="62">
        <f t="shared" si="27"/>
        <v>150</v>
      </c>
      <c r="L445" s="62">
        <f t="shared" si="27"/>
        <v>100</v>
      </c>
      <c r="M445" s="78"/>
      <c r="N445" s="78"/>
      <c r="O445" s="78"/>
    </row>
    <row r="446" spans="1:15" ht="32.25" customHeight="1">
      <c r="A446" s="27">
        <v>438</v>
      </c>
      <c r="B446" s="14" t="s">
        <v>105</v>
      </c>
      <c r="C446" s="27">
        <v>912</v>
      </c>
      <c r="D446" s="15">
        <v>1202</v>
      </c>
      <c r="E446" s="12" t="s">
        <v>190</v>
      </c>
      <c r="F446" s="17"/>
      <c r="G446" s="37"/>
      <c r="H446" s="37"/>
      <c r="I446" s="62">
        <f t="shared" si="27"/>
        <v>150</v>
      </c>
      <c r="J446" s="62">
        <f t="shared" si="27"/>
        <v>150</v>
      </c>
      <c r="K446" s="62">
        <f t="shared" si="27"/>
        <v>150</v>
      </c>
      <c r="L446" s="62">
        <f t="shared" si="27"/>
        <v>100</v>
      </c>
      <c r="M446" s="78"/>
      <c r="N446" s="78"/>
      <c r="O446" s="78"/>
    </row>
    <row r="447" spans="1:15" ht="23.25" customHeight="1">
      <c r="A447" s="27">
        <v>439</v>
      </c>
      <c r="B447" s="37" t="s">
        <v>383</v>
      </c>
      <c r="C447" s="29">
        <v>912</v>
      </c>
      <c r="D447" s="16">
        <v>1202</v>
      </c>
      <c r="E447" s="17" t="s">
        <v>190</v>
      </c>
      <c r="F447" s="17" t="s">
        <v>382</v>
      </c>
      <c r="G447" s="37"/>
      <c r="H447" s="37"/>
      <c r="I447" s="65">
        <v>150</v>
      </c>
      <c r="J447" s="65">
        <v>150</v>
      </c>
      <c r="K447" s="65">
        <v>150</v>
      </c>
      <c r="L447" s="65">
        <f>K447/J447*100</f>
        <v>100</v>
      </c>
      <c r="M447" s="78"/>
      <c r="N447" s="78"/>
      <c r="O447" s="78"/>
    </row>
    <row r="448" spans="1:15" ht="30">
      <c r="A448" s="27">
        <v>440</v>
      </c>
      <c r="B448" s="28" t="s">
        <v>53</v>
      </c>
      <c r="C448" s="44">
        <v>913</v>
      </c>
      <c r="D448" s="27"/>
      <c r="E448" s="27"/>
      <c r="F448" s="29"/>
      <c r="G448" s="29"/>
      <c r="H448" s="29"/>
      <c r="I448" s="23">
        <f>SUM(I449)</f>
        <v>1371.2</v>
      </c>
      <c r="J448" s="23">
        <f>SUM(J449)</f>
        <v>1234.8219999999999</v>
      </c>
      <c r="K448" s="23">
        <f>SUM(K449)</f>
        <v>1225.5999999999999</v>
      </c>
      <c r="L448" s="23">
        <f>SUM(L449)</f>
        <v>99.253171712198196</v>
      </c>
      <c r="M448" s="78"/>
      <c r="N448" s="78"/>
      <c r="O448" s="78"/>
    </row>
    <row r="449" spans="1:15" ht="20.25" customHeight="1">
      <c r="A449" s="27">
        <v>441</v>
      </c>
      <c r="B449" s="14" t="s">
        <v>4</v>
      </c>
      <c r="C449" s="27">
        <v>913</v>
      </c>
      <c r="D449" s="30">
        <v>100</v>
      </c>
      <c r="E449" s="27"/>
      <c r="F449" s="29"/>
      <c r="G449" s="33"/>
      <c r="H449" s="33"/>
      <c r="I449" s="23">
        <f>SUM(I450+I456)</f>
        <v>1371.2</v>
      </c>
      <c r="J449" s="23">
        <f>SUM(J450+J456)</f>
        <v>1234.8219999999999</v>
      </c>
      <c r="K449" s="23">
        <f>SUM(K450+K456)</f>
        <v>1225.5999999999999</v>
      </c>
      <c r="L449" s="23">
        <f>K449/J449*100</f>
        <v>99.253171712198196</v>
      </c>
      <c r="M449" s="78"/>
      <c r="N449" s="78"/>
      <c r="O449" s="78"/>
    </row>
    <row r="450" spans="1:15" ht="41.25" customHeight="1">
      <c r="A450" s="27">
        <v>442</v>
      </c>
      <c r="B450" s="14" t="s">
        <v>431</v>
      </c>
      <c r="C450" s="27">
        <v>913</v>
      </c>
      <c r="D450" s="66">
        <v>106</v>
      </c>
      <c r="E450" s="27"/>
      <c r="F450" s="29"/>
      <c r="G450" s="33"/>
      <c r="H450" s="33"/>
      <c r="I450" s="23">
        <f>SUM(I451)</f>
        <v>1368.2</v>
      </c>
      <c r="J450" s="23">
        <f>SUM(J451)</f>
        <v>1216.5619999999999</v>
      </c>
      <c r="K450" s="23">
        <f>SUM(K451)</f>
        <v>1207.5</v>
      </c>
      <c r="L450" s="23">
        <f>SUM(L451)</f>
        <v>99.255114001588083</v>
      </c>
      <c r="M450" s="78"/>
      <c r="N450" s="78"/>
      <c r="O450" s="78"/>
    </row>
    <row r="451" spans="1:15">
      <c r="A451" s="27">
        <v>443</v>
      </c>
      <c r="B451" s="14" t="s">
        <v>63</v>
      </c>
      <c r="C451" s="27">
        <v>913</v>
      </c>
      <c r="D451" s="15">
        <v>106</v>
      </c>
      <c r="E451" s="12" t="s">
        <v>124</v>
      </c>
      <c r="F451" s="17"/>
      <c r="G451" s="37"/>
      <c r="H451" s="37"/>
      <c r="I451" s="38">
        <f>SUM(I452+I454)</f>
        <v>1368.2</v>
      </c>
      <c r="J451" s="38">
        <f>SUM(J452+J454)</f>
        <v>1216.5619999999999</v>
      </c>
      <c r="K451" s="38">
        <f>SUM(K452+K454)</f>
        <v>1207.5</v>
      </c>
      <c r="L451" s="38">
        <f>K451/J451*100</f>
        <v>99.255114001588083</v>
      </c>
      <c r="M451" s="78"/>
      <c r="N451" s="78"/>
      <c r="O451" s="78"/>
    </row>
    <row r="452" spans="1:15" ht="25.5">
      <c r="A452" s="27">
        <v>444</v>
      </c>
      <c r="B452" s="14" t="s">
        <v>64</v>
      </c>
      <c r="C452" s="27">
        <v>913</v>
      </c>
      <c r="D452" s="15">
        <v>106</v>
      </c>
      <c r="E452" s="12" t="s">
        <v>123</v>
      </c>
      <c r="F452" s="17"/>
      <c r="G452" s="37"/>
      <c r="H452" s="37"/>
      <c r="I452" s="38">
        <f>SUM(I453)</f>
        <v>794.7</v>
      </c>
      <c r="J452" s="38">
        <f>SUM(J453)</f>
        <v>531.83000000000004</v>
      </c>
      <c r="K452" s="38">
        <f>SUM(K453)</f>
        <v>526.70000000000005</v>
      </c>
      <c r="L452" s="38">
        <f>SUM(L453)</f>
        <v>99.035406050805705</v>
      </c>
      <c r="M452" s="78"/>
      <c r="N452" s="78"/>
      <c r="O452" s="78"/>
    </row>
    <row r="453" spans="1:15" ht="25.5">
      <c r="A453" s="27">
        <v>445</v>
      </c>
      <c r="B453" s="13" t="s">
        <v>197</v>
      </c>
      <c r="C453" s="29">
        <v>913</v>
      </c>
      <c r="D453" s="16">
        <v>106</v>
      </c>
      <c r="E453" s="17" t="s">
        <v>123</v>
      </c>
      <c r="F453" s="17" t="s">
        <v>43</v>
      </c>
      <c r="G453" s="37"/>
      <c r="H453" s="37"/>
      <c r="I453" s="39">
        <f>794.7</f>
        <v>794.7</v>
      </c>
      <c r="J453" s="39">
        <f>794.7-54.576-2.118-111.232-78.9-16.044</f>
        <v>531.83000000000004</v>
      </c>
      <c r="K453" s="39">
        <v>526.70000000000005</v>
      </c>
      <c r="L453" s="39">
        <f>K453/J453*100</f>
        <v>99.035406050805705</v>
      </c>
      <c r="M453" s="78"/>
      <c r="N453" s="78"/>
      <c r="O453" s="78"/>
    </row>
    <row r="454" spans="1:15" ht="25.5">
      <c r="A454" s="27">
        <v>446</v>
      </c>
      <c r="B454" s="14" t="s">
        <v>27</v>
      </c>
      <c r="C454" s="27">
        <v>913</v>
      </c>
      <c r="D454" s="15">
        <v>106</v>
      </c>
      <c r="E454" s="12" t="s">
        <v>182</v>
      </c>
      <c r="F454" s="17"/>
      <c r="G454" s="37"/>
      <c r="H454" s="37"/>
      <c r="I454" s="38">
        <f>I455</f>
        <v>573.5</v>
      </c>
      <c r="J454" s="38">
        <f>J455</f>
        <v>684.73199999999997</v>
      </c>
      <c r="K454" s="38">
        <f>K455</f>
        <v>680.8</v>
      </c>
      <c r="L454" s="38">
        <f>L455</f>
        <v>99.425760735587048</v>
      </c>
      <c r="M454" s="78"/>
      <c r="N454" s="78"/>
      <c r="O454" s="78"/>
    </row>
    <row r="455" spans="1:15" ht="25.5">
      <c r="A455" s="27">
        <v>447</v>
      </c>
      <c r="B455" s="13" t="s">
        <v>197</v>
      </c>
      <c r="C455" s="29">
        <v>913</v>
      </c>
      <c r="D455" s="16">
        <v>106</v>
      </c>
      <c r="E455" s="17" t="s">
        <v>182</v>
      </c>
      <c r="F455" s="17" t="s">
        <v>43</v>
      </c>
      <c r="G455" s="37"/>
      <c r="H455" s="37"/>
      <c r="I455" s="39">
        <f>573.5</f>
        <v>573.5</v>
      </c>
      <c r="J455" s="39">
        <f>573.5+111.232</f>
        <v>684.73199999999997</v>
      </c>
      <c r="K455" s="39">
        <v>680.8</v>
      </c>
      <c r="L455" s="39">
        <f>K455/J455*100</f>
        <v>99.425760735587048</v>
      </c>
      <c r="M455" s="78"/>
      <c r="N455" s="78"/>
      <c r="O455" s="78"/>
    </row>
    <row r="456" spans="1:15" ht="23.25" customHeight="1">
      <c r="A456" s="27">
        <v>448</v>
      </c>
      <c r="B456" s="14" t="s">
        <v>25</v>
      </c>
      <c r="C456" s="27">
        <v>913</v>
      </c>
      <c r="D456" s="66">
        <v>113</v>
      </c>
      <c r="E456" s="12"/>
      <c r="F456" s="67"/>
      <c r="G456" s="40"/>
      <c r="H456" s="40"/>
      <c r="I456" s="38">
        <f t="shared" ref="I456:L457" si="28">SUM(I457)</f>
        <v>3</v>
      </c>
      <c r="J456" s="38">
        <f t="shared" si="28"/>
        <v>18.259999999999998</v>
      </c>
      <c r="K456" s="38">
        <f t="shared" si="28"/>
        <v>18.100000000000001</v>
      </c>
      <c r="L456" s="38">
        <f t="shared" si="28"/>
        <v>98.9</v>
      </c>
      <c r="M456" s="78"/>
      <c r="N456" s="78"/>
      <c r="O456" s="78"/>
    </row>
    <row r="457" spans="1:15" ht="17.25" customHeight="1">
      <c r="A457" s="27">
        <v>449</v>
      </c>
      <c r="B457" s="14" t="s">
        <v>63</v>
      </c>
      <c r="C457" s="27">
        <v>913</v>
      </c>
      <c r="D457" s="66">
        <v>113</v>
      </c>
      <c r="E457" s="12" t="s">
        <v>124</v>
      </c>
      <c r="F457" s="67"/>
      <c r="G457" s="40"/>
      <c r="H457" s="40"/>
      <c r="I457" s="38">
        <f t="shared" si="28"/>
        <v>3</v>
      </c>
      <c r="J457" s="38">
        <f t="shared" si="28"/>
        <v>18.259999999999998</v>
      </c>
      <c r="K457" s="38">
        <f t="shared" si="28"/>
        <v>18.100000000000001</v>
      </c>
      <c r="L457" s="38">
        <f t="shared" si="28"/>
        <v>98.9</v>
      </c>
      <c r="M457" s="78"/>
      <c r="N457" s="78"/>
      <c r="O457" s="78"/>
    </row>
    <row r="458" spans="1:15" ht="27.75" customHeight="1">
      <c r="A458" s="27">
        <v>450</v>
      </c>
      <c r="B458" s="14" t="s">
        <v>64</v>
      </c>
      <c r="C458" s="27">
        <v>913</v>
      </c>
      <c r="D458" s="66">
        <v>113</v>
      </c>
      <c r="E458" s="12" t="s">
        <v>123</v>
      </c>
      <c r="F458" s="67"/>
      <c r="G458" s="40"/>
      <c r="H458" s="40"/>
      <c r="I458" s="38">
        <f>SUM(I459:I460)</f>
        <v>3</v>
      </c>
      <c r="J458" s="38">
        <f>SUM(J459:J460)</f>
        <v>18.259999999999998</v>
      </c>
      <c r="K458" s="38">
        <f>SUM(K459:K460)</f>
        <v>18.100000000000001</v>
      </c>
      <c r="L458" s="38">
        <v>98.9</v>
      </c>
      <c r="M458" s="78"/>
      <c r="N458" s="78"/>
      <c r="O458" s="78"/>
    </row>
    <row r="459" spans="1:15" ht="30" customHeight="1">
      <c r="A459" s="27">
        <v>451</v>
      </c>
      <c r="B459" s="13" t="s">
        <v>197</v>
      </c>
      <c r="C459" s="29">
        <v>913</v>
      </c>
      <c r="D459" s="68">
        <v>113</v>
      </c>
      <c r="E459" s="17" t="s">
        <v>123</v>
      </c>
      <c r="F459" s="69" t="s">
        <v>43</v>
      </c>
      <c r="G459" s="37"/>
      <c r="H459" s="37"/>
      <c r="I459" s="39">
        <f>3</f>
        <v>3</v>
      </c>
      <c r="J459" s="39">
        <f>3+4.76</f>
        <v>7.76</v>
      </c>
      <c r="K459" s="39">
        <v>7.6</v>
      </c>
      <c r="L459" s="39">
        <v>97.4</v>
      </c>
      <c r="M459" s="78"/>
      <c r="N459" s="78"/>
      <c r="O459" s="78"/>
    </row>
    <row r="460" spans="1:15" ht="30" customHeight="1">
      <c r="A460" s="27">
        <v>452</v>
      </c>
      <c r="B460" s="13" t="s">
        <v>196</v>
      </c>
      <c r="C460" s="29">
        <v>913</v>
      </c>
      <c r="D460" s="68">
        <v>113</v>
      </c>
      <c r="E460" s="17" t="s">
        <v>123</v>
      </c>
      <c r="F460" s="69" t="s">
        <v>67</v>
      </c>
      <c r="G460" s="37"/>
      <c r="H460" s="37"/>
      <c r="I460" s="39">
        <v>0</v>
      </c>
      <c r="J460" s="39">
        <v>10.5</v>
      </c>
      <c r="K460" s="39">
        <v>10.5</v>
      </c>
      <c r="L460" s="39">
        <f>K460/J460*100</f>
        <v>100</v>
      </c>
      <c r="M460" s="78"/>
      <c r="N460" s="78"/>
      <c r="O460" s="78"/>
    </row>
    <row r="461" spans="1:15" ht="24" customHeight="1">
      <c r="A461" s="27">
        <v>453</v>
      </c>
      <c r="B461" s="28" t="s">
        <v>424</v>
      </c>
      <c r="C461" s="27">
        <v>918</v>
      </c>
      <c r="D461" s="66"/>
      <c r="E461" s="67"/>
      <c r="F461" s="67"/>
      <c r="G461" s="40"/>
      <c r="H461" s="40"/>
      <c r="I461" s="38">
        <f t="shared" ref="I461:L465" si="29">SUM(I462)</f>
        <v>0</v>
      </c>
      <c r="J461" s="38">
        <f t="shared" si="29"/>
        <v>1027.2940000000001</v>
      </c>
      <c r="K461" s="38">
        <f t="shared" si="29"/>
        <v>989.8</v>
      </c>
      <c r="L461" s="38">
        <f t="shared" si="29"/>
        <v>96.3</v>
      </c>
      <c r="M461" s="78"/>
      <c r="N461" s="78"/>
      <c r="O461" s="78"/>
    </row>
    <row r="462" spans="1:15" ht="20.25" customHeight="1">
      <c r="A462" s="27">
        <v>454</v>
      </c>
      <c r="B462" s="14" t="s">
        <v>4</v>
      </c>
      <c r="C462" s="27">
        <v>918</v>
      </c>
      <c r="D462" s="66">
        <v>100</v>
      </c>
      <c r="E462" s="67"/>
      <c r="F462" s="67"/>
      <c r="G462" s="40"/>
      <c r="H462" s="40"/>
      <c r="I462" s="38">
        <f t="shared" si="29"/>
        <v>0</v>
      </c>
      <c r="J462" s="38">
        <f t="shared" si="29"/>
        <v>1027.2940000000001</v>
      </c>
      <c r="K462" s="38">
        <f t="shared" si="29"/>
        <v>989.8</v>
      </c>
      <c r="L462" s="38">
        <f t="shared" si="29"/>
        <v>96.3</v>
      </c>
      <c r="M462" s="78"/>
      <c r="N462" s="78"/>
      <c r="O462" s="78"/>
    </row>
    <row r="463" spans="1:15" ht="20.25" customHeight="1">
      <c r="A463" s="27">
        <v>455</v>
      </c>
      <c r="B463" s="14" t="s">
        <v>425</v>
      </c>
      <c r="C463" s="27">
        <v>918</v>
      </c>
      <c r="D463" s="66">
        <v>107</v>
      </c>
      <c r="E463" s="67"/>
      <c r="F463" s="67"/>
      <c r="G463" s="40"/>
      <c r="H463" s="40"/>
      <c r="I463" s="38">
        <f t="shared" si="29"/>
        <v>0</v>
      </c>
      <c r="J463" s="38">
        <f t="shared" si="29"/>
        <v>1027.2940000000001</v>
      </c>
      <c r="K463" s="38">
        <f t="shared" si="29"/>
        <v>989.8</v>
      </c>
      <c r="L463" s="38">
        <f t="shared" si="29"/>
        <v>96.3</v>
      </c>
      <c r="M463" s="78"/>
      <c r="N463" s="78"/>
      <c r="O463" s="78"/>
    </row>
    <row r="464" spans="1:15" ht="15.75" customHeight="1">
      <c r="A464" s="27">
        <v>456</v>
      </c>
      <c r="B464" s="14" t="s">
        <v>63</v>
      </c>
      <c r="C464" s="27">
        <v>918</v>
      </c>
      <c r="D464" s="15">
        <v>107</v>
      </c>
      <c r="E464" s="12" t="s">
        <v>124</v>
      </c>
      <c r="F464" s="12"/>
      <c r="G464" s="40"/>
      <c r="H464" s="40"/>
      <c r="I464" s="38">
        <f t="shared" si="29"/>
        <v>0</v>
      </c>
      <c r="J464" s="38">
        <f t="shared" si="29"/>
        <v>1027.2940000000001</v>
      </c>
      <c r="K464" s="38">
        <f t="shared" si="29"/>
        <v>989.8</v>
      </c>
      <c r="L464" s="38">
        <f t="shared" si="29"/>
        <v>96.3</v>
      </c>
      <c r="M464" s="78"/>
      <c r="N464" s="78"/>
      <c r="O464" s="78"/>
    </row>
    <row r="465" spans="1:15" ht="15" customHeight="1">
      <c r="A465" s="27">
        <v>457</v>
      </c>
      <c r="B465" s="14" t="s">
        <v>426</v>
      </c>
      <c r="C465" s="27">
        <v>918</v>
      </c>
      <c r="D465" s="15">
        <v>107</v>
      </c>
      <c r="E465" s="12" t="s">
        <v>427</v>
      </c>
      <c r="F465" s="12"/>
      <c r="G465" s="40"/>
      <c r="H465" s="40"/>
      <c r="I465" s="38">
        <f t="shared" si="29"/>
        <v>0</v>
      </c>
      <c r="J465" s="38">
        <f t="shared" si="29"/>
        <v>1027.2940000000001</v>
      </c>
      <c r="K465" s="38">
        <f t="shared" si="29"/>
        <v>989.8</v>
      </c>
      <c r="L465" s="38">
        <f t="shared" si="29"/>
        <v>96.3</v>
      </c>
      <c r="M465" s="78"/>
      <c r="N465" s="78"/>
      <c r="O465" s="78"/>
    </row>
    <row r="466" spans="1:15" ht="30" customHeight="1">
      <c r="A466" s="27">
        <v>458</v>
      </c>
      <c r="B466" s="13" t="s">
        <v>196</v>
      </c>
      <c r="C466" s="29">
        <v>918</v>
      </c>
      <c r="D466" s="16">
        <v>107</v>
      </c>
      <c r="E466" s="17" t="s">
        <v>427</v>
      </c>
      <c r="F466" s="17" t="s">
        <v>67</v>
      </c>
      <c r="G466" s="37"/>
      <c r="H466" s="37"/>
      <c r="I466" s="39">
        <v>0</v>
      </c>
      <c r="J466" s="39">
        <v>1027.2940000000001</v>
      </c>
      <c r="K466" s="39">
        <v>989.8</v>
      </c>
      <c r="L466" s="39">
        <v>96.3</v>
      </c>
      <c r="M466" s="78"/>
      <c r="N466" s="78"/>
      <c r="O466" s="78"/>
    </row>
    <row r="467" spans="1:15" ht="30">
      <c r="A467" s="27">
        <v>459</v>
      </c>
      <c r="B467" s="28" t="s">
        <v>56</v>
      </c>
      <c r="C467" s="44">
        <v>919</v>
      </c>
      <c r="D467" s="66"/>
      <c r="E467" s="67"/>
      <c r="F467" s="69"/>
      <c r="G467" s="37"/>
      <c r="H467" s="37"/>
      <c r="I467" s="23">
        <f>SUM(I468)</f>
        <v>2542.011</v>
      </c>
      <c r="J467" s="23">
        <f>SUM(J468)</f>
        <v>2413.4389999999999</v>
      </c>
      <c r="K467" s="23">
        <f>SUM(K468)</f>
        <v>2413.4389999999999</v>
      </c>
      <c r="L467" s="23">
        <f>K467/J467*100</f>
        <v>100</v>
      </c>
      <c r="M467" s="78"/>
      <c r="N467" s="78"/>
      <c r="O467" s="78"/>
    </row>
    <row r="468" spans="1:15" ht="32.25" customHeight="1">
      <c r="A468" s="27">
        <v>460</v>
      </c>
      <c r="B468" s="14" t="s">
        <v>4</v>
      </c>
      <c r="C468" s="27">
        <v>919</v>
      </c>
      <c r="D468" s="15">
        <v>100</v>
      </c>
      <c r="E468" s="67"/>
      <c r="F468" s="69"/>
      <c r="G468" s="37"/>
      <c r="H468" s="37"/>
      <c r="I468" s="24">
        <f>SUM(I469+I475)</f>
        <v>2542.011</v>
      </c>
      <c r="J468" s="24">
        <f>SUM(J469+J475)</f>
        <v>2413.4389999999999</v>
      </c>
      <c r="K468" s="24">
        <f>SUM(K469+K475)</f>
        <v>2413.4389999999999</v>
      </c>
      <c r="L468" s="24">
        <f>K468/J468*100</f>
        <v>100</v>
      </c>
      <c r="M468" s="78"/>
      <c r="N468" s="78"/>
      <c r="O468" s="78"/>
    </row>
    <row r="469" spans="1:15" ht="39" customHeight="1">
      <c r="A469" s="27">
        <v>461</v>
      </c>
      <c r="B469" s="14" t="s">
        <v>431</v>
      </c>
      <c r="C469" s="70">
        <v>919</v>
      </c>
      <c r="D469" s="66">
        <v>106</v>
      </c>
      <c r="E469" s="67"/>
      <c r="F469" s="69"/>
      <c r="G469" s="37"/>
      <c r="H469" s="37"/>
      <c r="I469" s="62">
        <f>SUM(I470)</f>
        <v>2431.4110000000001</v>
      </c>
      <c r="J469" s="62">
        <f>SUM(J470)</f>
        <v>2380.6889999999999</v>
      </c>
      <c r="K469" s="62">
        <f>SUM(K470)</f>
        <v>2380.6889999999999</v>
      </c>
      <c r="L469" s="62">
        <f>K469/J469*100</f>
        <v>100</v>
      </c>
      <c r="M469" s="78"/>
      <c r="N469" s="78"/>
      <c r="O469" s="78"/>
    </row>
    <row r="470" spans="1:15" ht="40.5" customHeight="1">
      <c r="A470" s="27">
        <v>462</v>
      </c>
      <c r="B470" s="14" t="s">
        <v>283</v>
      </c>
      <c r="C470" s="70">
        <v>919</v>
      </c>
      <c r="D470" s="15">
        <v>106</v>
      </c>
      <c r="E470" s="12" t="s">
        <v>184</v>
      </c>
      <c r="F470" s="17"/>
      <c r="G470" s="37"/>
      <c r="H470" s="37"/>
      <c r="I470" s="38">
        <f t="shared" ref="I470:L471" si="30">I471</f>
        <v>2431.4110000000001</v>
      </c>
      <c r="J470" s="38">
        <f t="shared" si="30"/>
        <v>2380.6889999999999</v>
      </c>
      <c r="K470" s="38">
        <f t="shared" si="30"/>
        <v>2380.6889999999999</v>
      </c>
      <c r="L470" s="38">
        <f>K470/J470*100</f>
        <v>100</v>
      </c>
      <c r="M470" s="78"/>
      <c r="N470" s="78"/>
      <c r="O470" s="78"/>
    </row>
    <row r="471" spans="1:15" ht="38.25">
      <c r="A471" s="27">
        <v>463</v>
      </c>
      <c r="B471" s="71" t="s">
        <v>301</v>
      </c>
      <c r="C471" s="70">
        <v>919</v>
      </c>
      <c r="D471" s="15">
        <v>106</v>
      </c>
      <c r="E471" s="12" t="s">
        <v>183</v>
      </c>
      <c r="F471" s="17"/>
      <c r="G471" s="37"/>
      <c r="H471" s="37"/>
      <c r="I471" s="38">
        <f t="shared" si="30"/>
        <v>2431.4110000000001</v>
      </c>
      <c r="J471" s="38">
        <f t="shared" si="30"/>
        <v>2380.6889999999999</v>
      </c>
      <c r="K471" s="38">
        <f t="shared" si="30"/>
        <v>2380.6889999999999</v>
      </c>
      <c r="L471" s="38">
        <f t="shared" si="30"/>
        <v>100</v>
      </c>
      <c r="M471" s="78"/>
      <c r="N471" s="78"/>
      <c r="O471" s="78"/>
    </row>
    <row r="472" spans="1:15" ht="33" customHeight="1">
      <c r="A472" s="27">
        <v>464</v>
      </c>
      <c r="B472" s="14" t="s">
        <v>107</v>
      </c>
      <c r="C472" s="70">
        <v>919</v>
      </c>
      <c r="D472" s="15">
        <v>106</v>
      </c>
      <c r="E472" s="12" t="s">
        <v>185</v>
      </c>
      <c r="F472" s="17"/>
      <c r="G472" s="37"/>
      <c r="H472" s="37"/>
      <c r="I472" s="38">
        <f>SUM(I473:I474)</f>
        <v>2431.4110000000001</v>
      </c>
      <c r="J472" s="38">
        <f>SUM(J473:J474)</f>
        <v>2380.6889999999999</v>
      </c>
      <c r="K472" s="38">
        <f>SUM(K473:K474)</f>
        <v>2380.6889999999999</v>
      </c>
      <c r="L472" s="38">
        <f>K472/J472*100</f>
        <v>100</v>
      </c>
      <c r="M472" s="78"/>
      <c r="N472" s="78"/>
      <c r="O472" s="78"/>
    </row>
    <row r="473" spans="1:15" ht="25.5">
      <c r="A473" s="27">
        <v>465</v>
      </c>
      <c r="B473" s="13" t="s">
        <v>197</v>
      </c>
      <c r="C473" s="72">
        <v>919</v>
      </c>
      <c r="D473" s="16">
        <v>106</v>
      </c>
      <c r="E473" s="17" t="s">
        <v>185</v>
      </c>
      <c r="F473" s="17" t="s">
        <v>43</v>
      </c>
      <c r="G473" s="37"/>
      <c r="H473" s="37"/>
      <c r="I473" s="39">
        <f>2303.011</f>
        <v>2303.011</v>
      </c>
      <c r="J473" s="39">
        <f>2303.011-13.882-13.66-68.916-1.646</f>
        <v>2204.9069999999997</v>
      </c>
      <c r="K473" s="39">
        <f>2303.011-13.882-13.66-68.916-1.646</f>
        <v>2204.9069999999997</v>
      </c>
      <c r="L473" s="39">
        <f>K473/J473*100</f>
        <v>100</v>
      </c>
      <c r="M473" s="78"/>
      <c r="N473" s="78"/>
      <c r="O473" s="78"/>
    </row>
    <row r="474" spans="1:15" ht="38.25">
      <c r="A474" s="27">
        <v>466</v>
      </c>
      <c r="B474" s="13" t="s">
        <v>196</v>
      </c>
      <c r="C474" s="72">
        <v>919</v>
      </c>
      <c r="D474" s="16">
        <v>106</v>
      </c>
      <c r="E474" s="17" t="s">
        <v>185</v>
      </c>
      <c r="F474" s="17" t="s">
        <v>67</v>
      </c>
      <c r="G474" s="37"/>
      <c r="H474" s="37"/>
      <c r="I474" s="39">
        <f>128.4</f>
        <v>128.4</v>
      </c>
      <c r="J474" s="39">
        <f>128.4+37+10.382</f>
        <v>175.78200000000001</v>
      </c>
      <c r="K474" s="39">
        <f>128.4+37+10.382</f>
        <v>175.78200000000001</v>
      </c>
      <c r="L474" s="39">
        <f>K474/J474*100</f>
        <v>100</v>
      </c>
      <c r="M474" s="78"/>
      <c r="N474" s="78"/>
      <c r="O474" s="78"/>
    </row>
    <row r="475" spans="1:15" ht="16.5" customHeight="1">
      <c r="A475" s="27">
        <v>467</v>
      </c>
      <c r="B475" s="14" t="s">
        <v>25</v>
      </c>
      <c r="C475" s="27">
        <v>919</v>
      </c>
      <c r="D475" s="66">
        <v>113</v>
      </c>
      <c r="E475" s="17"/>
      <c r="F475" s="17"/>
      <c r="G475" s="37"/>
      <c r="H475" s="37"/>
      <c r="I475" s="38">
        <f>SUM(I476)</f>
        <v>110.6</v>
      </c>
      <c r="J475" s="38">
        <f>SUM(J476)</f>
        <v>32.75</v>
      </c>
      <c r="K475" s="38">
        <f>SUM(K476)</f>
        <v>32.75</v>
      </c>
      <c r="L475" s="38">
        <f>SUM(L476)</f>
        <v>100</v>
      </c>
      <c r="M475" s="78"/>
      <c r="N475" s="78"/>
      <c r="O475" s="78"/>
    </row>
    <row r="476" spans="1:15" ht="40.5" customHeight="1">
      <c r="A476" s="27">
        <v>468</v>
      </c>
      <c r="B476" s="14" t="s">
        <v>300</v>
      </c>
      <c r="C476" s="70">
        <v>919</v>
      </c>
      <c r="D476" s="15">
        <v>113</v>
      </c>
      <c r="E476" s="12" t="s">
        <v>184</v>
      </c>
      <c r="F476" s="17"/>
      <c r="G476" s="37"/>
      <c r="H476" s="37"/>
      <c r="I476" s="38">
        <f t="shared" ref="I476:L477" si="31">I477</f>
        <v>110.6</v>
      </c>
      <c r="J476" s="38">
        <f t="shared" si="31"/>
        <v>32.75</v>
      </c>
      <c r="K476" s="38">
        <f t="shared" si="31"/>
        <v>32.75</v>
      </c>
      <c r="L476" s="38">
        <f t="shared" si="31"/>
        <v>100</v>
      </c>
      <c r="M476" s="78"/>
      <c r="N476" s="78"/>
      <c r="O476" s="78"/>
    </row>
    <row r="477" spans="1:15" ht="42.75" customHeight="1">
      <c r="A477" s="27">
        <v>469</v>
      </c>
      <c r="B477" s="71" t="s">
        <v>301</v>
      </c>
      <c r="C477" s="70">
        <v>919</v>
      </c>
      <c r="D477" s="15">
        <v>113</v>
      </c>
      <c r="E477" s="12" t="s">
        <v>183</v>
      </c>
      <c r="F477" s="17"/>
      <c r="G477" s="37"/>
      <c r="H477" s="37"/>
      <c r="I477" s="38">
        <f t="shared" si="31"/>
        <v>110.6</v>
      </c>
      <c r="J477" s="38">
        <f t="shared" si="31"/>
        <v>32.75</v>
      </c>
      <c r="K477" s="38">
        <f t="shared" si="31"/>
        <v>32.75</v>
      </c>
      <c r="L477" s="38">
        <f t="shared" si="31"/>
        <v>100</v>
      </c>
      <c r="M477" s="78"/>
      <c r="N477" s="78"/>
      <c r="O477" s="78"/>
    </row>
    <row r="478" spans="1:15" ht="35.25" customHeight="1">
      <c r="A478" s="27">
        <v>470</v>
      </c>
      <c r="B478" s="14" t="s">
        <v>107</v>
      </c>
      <c r="C478" s="70">
        <v>919</v>
      </c>
      <c r="D478" s="15">
        <v>113</v>
      </c>
      <c r="E478" s="12" t="s">
        <v>185</v>
      </c>
      <c r="F478" s="17"/>
      <c r="G478" s="37"/>
      <c r="H478" s="37"/>
      <c r="I478" s="38">
        <f>SUM(I479:I480)</f>
        <v>110.6</v>
      </c>
      <c r="J478" s="38">
        <f>SUM(J479:J480)</f>
        <v>32.75</v>
      </c>
      <c r="K478" s="38">
        <f>SUM(K479:K480)</f>
        <v>32.75</v>
      </c>
      <c r="L478" s="38">
        <f>K478/J478*100</f>
        <v>100</v>
      </c>
      <c r="M478" s="78"/>
      <c r="N478" s="78"/>
      <c r="O478" s="78"/>
    </row>
    <row r="479" spans="1:15" ht="35.25" customHeight="1">
      <c r="A479" s="27">
        <v>471</v>
      </c>
      <c r="B479" s="13" t="s">
        <v>197</v>
      </c>
      <c r="C479" s="72">
        <v>919</v>
      </c>
      <c r="D479" s="16">
        <v>113</v>
      </c>
      <c r="E479" s="17" t="s">
        <v>185</v>
      </c>
      <c r="F479" s="17" t="s">
        <v>43</v>
      </c>
      <c r="G479" s="37"/>
      <c r="H479" s="37"/>
      <c r="I479" s="39">
        <f>29.4</f>
        <v>29.4</v>
      </c>
      <c r="J479" s="39">
        <f>29.4-28.15</f>
        <v>1.25</v>
      </c>
      <c r="K479" s="39">
        <f>29.4-28.15</f>
        <v>1.25</v>
      </c>
      <c r="L479" s="39">
        <f>K479/J479*100</f>
        <v>100</v>
      </c>
      <c r="M479" s="78"/>
      <c r="N479" s="78"/>
      <c r="O479" s="78"/>
    </row>
    <row r="480" spans="1:15" ht="27.75" customHeight="1">
      <c r="A480" s="27">
        <v>472</v>
      </c>
      <c r="B480" s="13" t="s">
        <v>196</v>
      </c>
      <c r="C480" s="72">
        <v>919</v>
      </c>
      <c r="D480" s="16">
        <v>113</v>
      </c>
      <c r="E480" s="17" t="s">
        <v>185</v>
      </c>
      <c r="F480" s="17" t="s">
        <v>67</v>
      </c>
      <c r="G480" s="37"/>
      <c r="H480" s="37"/>
      <c r="I480" s="73">
        <f>81.2</f>
        <v>81.2</v>
      </c>
      <c r="J480" s="73">
        <f>81.2-53.2+3.5</f>
        <v>31.5</v>
      </c>
      <c r="K480" s="73">
        <f>81.2-53.2+3.5</f>
        <v>31.5</v>
      </c>
      <c r="L480" s="73">
        <f>K480/J480*100</f>
        <v>100</v>
      </c>
      <c r="M480" s="78"/>
      <c r="N480" s="78"/>
      <c r="O480" s="78"/>
    </row>
    <row r="481" spans="1:15" ht="18" customHeight="1">
      <c r="A481" s="27">
        <v>473</v>
      </c>
      <c r="B481" s="14" t="s">
        <v>54</v>
      </c>
      <c r="C481" s="29"/>
      <c r="D481" s="29"/>
      <c r="E481" s="29"/>
      <c r="F481" s="29"/>
      <c r="G481" s="29"/>
      <c r="H481" s="29"/>
      <c r="I481" s="23">
        <f>SUM(I9+I435+I448+I461+I467)</f>
        <v>370559.77299999999</v>
      </c>
      <c r="J481" s="23">
        <f>SUM(J9+J435+J448+J461+J467)</f>
        <v>383600.89600000007</v>
      </c>
      <c r="K481" s="23">
        <f>SUM(K9+K435+K448+K461+K467)</f>
        <v>361046.54800000001</v>
      </c>
      <c r="L481" s="23">
        <f>K481/J481*100</f>
        <v>94.120360970168321</v>
      </c>
      <c r="M481" s="78"/>
      <c r="N481" s="78"/>
      <c r="O481" s="78"/>
    </row>
    <row r="482" spans="1:15" ht="27.75" customHeight="1">
      <c r="A482" s="107"/>
      <c r="B482" s="108"/>
      <c r="C482" s="74"/>
      <c r="D482" s="75"/>
      <c r="E482" s="75"/>
      <c r="F482" s="74"/>
      <c r="G482" s="76"/>
      <c r="H482" s="77"/>
      <c r="I482" s="77"/>
      <c r="J482" s="77"/>
      <c r="K482" s="77"/>
      <c r="L482" s="78"/>
      <c r="M482" s="78"/>
      <c r="N482" s="78"/>
      <c r="O482" s="78"/>
    </row>
    <row r="483" spans="1:15" ht="12.75" customHeight="1">
      <c r="A483" s="104" t="s">
        <v>479</v>
      </c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78"/>
      <c r="N483" s="78"/>
      <c r="O483" s="78"/>
    </row>
    <row r="484" spans="1:15" ht="9.75" customHeight="1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78"/>
      <c r="N484" s="78"/>
      <c r="O484" s="78"/>
    </row>
    <row r="485" spans="1:15" ht="25.5" customHeight="1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78"/>
      <c r="N485" s="78"/>
      <c r="O485" s="78"/>
    </row>
    <row r="486" spans="1:15">
      <c r="A486" s="8"/>
    </row>
    <row r="487" spans="1:15">
      <c r="A487" s="8"/>
    </row>
  </sheetData>
  <autoFilter ref="A8:L485">
    <filterColumn colId="8"/>
    <filterColumn colId="9"/>
    <filterColumn colId="10"/>
  </autoFilter>
  <mergeCells count="7">
    <mergeCell ref="A483:L485"/>
    <mergeCell ref="C1:L1"/>
    <mergeCell ref="C2:L2"/>
    <mergeCell ref="C3:L3"/>
    <mergeCell ref="C4:L4"/>
    <mergeCell ref="A482:B482"/>
    <mergeCell ref="A6:O6"/>
  </mergeCells>
  <pageMargins left="0.78740157480314965" right="0.19685039370078741" top="0.19685039370078741" bottom="0.19685039370078741" header="0.19685039370078741" footer="0.19685039370078741"/>
  <pageSetup paperSize="9" scale="57" fitToHeight="14" orientation="portrait" r:id="rId1"/>
  <rowBreaks count="10" manualBreakCount="10">
    <brk id="43" max="8" man="1"/>
    <brk id="86" max="8" man="1"/>
    <brk id="118" max="8" man="1"/>
    <brk id="155" max="8" man="1"/>
    <brk id="187" max="8" man="1"/>
    <brk id="226" max="8" man="1"/>
    <brk id="267" max="8" man="1"/>
    <brk id="305" max="8" man="1"/>
    <brk id="403" max="8" man="1"/>
    <brk id="4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2019-09-30T05:38:29Z</cp:lastPrinted>
  <dcterms:created xsi:type="dcterms:W3CDTF">1996-10-08T23:32:33Z</dcterms:created>
  <dcterms:modified xsi:type="dcterms:W3CDTF">2020-07-29T11:26:22Z</dcterms:modified>
</cp:coreProperties>
</file>