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50" yWindow="540" windowWidth="18855" windowHeight="11190"/>
  </bookViews>
  <sheets>
    <sheet name="Документ" sheetId="2" r:id="rId1"/>
  </sheets>
  <calcPr calcId="125725"/>
</workbook>
</file>

<file path=xl/calcChain.xml><?xml version="1.0" encoding="utf-8"?>
<calcChain xmlns="http://schemas.openxmlformats.org/spreadsheetml/2006/main">
  <c r="G451" i="2"/>
  <c r="G459"/>
  <c r="G24"/>
  <c r="G35"/>
  <c r="G41"/>
  <c r="G14"/>
  <c r="G15"/>
  <c r="G382"/>
  <c r="G383"/>
  <c r="G21"/>
  <c r="G32"/>
  <c r="G169"/>
  <c r="G25"/>
  <c r="G49"/>
  <c r="G50"/>
  <c r="G26"/>
  <c r="G325"/>
  <c r="G265"/>
  <c r="G181"/>
  <c r="G189"/>
  <c r="G56"/>
  <c r="G54"/>
  <c r="G53"/>
  <c r="G52"/>
  <c r="G172"/>
  <c r="G174"/>
  <c r="G213"/>
  <c r="G37"/>
  <c r="G36"/>
  <c r="G183"/>
  <c r="G330"/>
  <c r="G329"/>
  <c r="G180"/>
  <c r="G176"/>
  <c r="G148"/>
  <c r="G144"/>
  <c r="G27"/>
  <c r="G99"/>
  <c r="G171"/>
  <c r="G247"/>
  <c r="G239"/>
  <c r="G74"/>
  <c r="G407"/>
  <c r="G271"/>
  <c r="G30"/>
  <c r="G108"/>
  <c r="G132"/>
  <c r="H340"/>
  <c r="H338" l="1"/>
  <c r="H335" s="1"/>
  <c r="G317"/>
  <c r="G318"/>
  <c r="G75"/>
  <c r="G76"/>
  <c r="G225"/>
  <c r="G343"/>
  <c r="G408"/>
  <c r="G405" s="1"/>
  <c r="G40" l="1"/>
  <c r="G39"/>
  <c r="G38" s="1"/>
  <c r="G444"/>
  <c r="G438"/>
  <c r="G456"/>
  <c r="G424"/>
  <c r="G418"/>
  <c r="G358"/>
  <c r="G95"/>
  <c r="G57"/>
  <c r="G29"/>
  <c r="G18"/>
  <c r="G228" l="1"/>
  <c r="G227" s="1"/>
  <c r="G226" s="1"/>
  <c r="G122"/>
  <c r="G123"/>
  <c r="G94"/>
  <c r="G235"/>
  <c r="G219"/>
  <c r="G217"/>
  <c r="G126"/>
  <c r="G379"/>
  <c r="G292"/>
  <c r="G158"/>
  <c r="G262"/>
  <c r="G373"/>
  <c r="G372"/>
  <c r="G199"/>
  <c r="G258"/>
  <c r="G242"/>
  <c r="G221"/>
  <c r="G323"/>
  <c r="G322" s="1"/>
  <c r="G106" l="1"/>
  <c r="I106"/>
  <c r="H106"/>
  <c r="I153"/>
  <c r="H153"/>
  <c r="G153"/>
  <c r="I168" l="1"/>
  <c r="H168"/>
  <c r="G168"/>
  <c r="G345"/>
  <c r="G344"/>
  <c r="G146"/>
  <c r="G289"/>
  <c r="G160"/>
  <c r="G178"/>
  <c r="G231"/>
  <c r="G201"/>
  <c r="G200" s="1"/>
  <c r="G170" l="1"/>
  <c r="G454"/>
  <c r="G453"/>
  <c r="G449"/>
  <c r="I140"/>
  <c r="I137"/>
  <c r="H137"/>
  <c r="G137"/>
  <c r="G167" l="1"/>
  <c r="G103"/>
  <c r="G293"/>
  <c r="G254"/>
  <c r="I200"/>
  <c r="H200"/>
  <c r="G291" l="1"/>
  <c r="G84"/>
  <c r="G267"/>
  <c r="I224"/>
  <c r="H224"/>
  <c r="G224"/>
  <c r="G342"/>
  <c r="I188"/>
  <c r="H188"/>
  <c r="I193"/>
  <c r="H193"/>
  <c r="H55"/>
  <c r="H54"/>
  <c r="H53"/>
  <c r="H52"/>
  <c r="H197" l="1"/>
  <c r="H195"/>
  <c r="G348"/>
  <c r="G350"/>
  <c r="G349" s="1"/>
  <c r="G385"/>
  <c r="G338"/>
  <c r="G339"/>
  <c r="G232"/>
  <c r="G252"/>
  <c r="G253"/>
  <c r="G390"/>
  <c r="G287"/>
  <c r="G286"/>
  <c r="G297"/>
  <c r="G299"/>
  <c r="G55"/>
  <c r="G51" s="1"/>
  <c r="G91"/>
  <c r="I349"/>
  <c r="H349"/>
  <c r="G354"/>
  <c r="G236"/>
  <c r="G118"/>
  <c r="G215"/>
  <c r="G223"/>
  <c r="G222" s="1"/>
  <c r="G105"/>
  <c r="I253"/>
  <c r="H253"/>
  <c r="G326" l="1"/>
  <c r="G275"/>
  <c r="G273"/>
  <c r="G352"/>
  <c r="G162"/>
  <c r="I196" l="1"/>
  <c r="H196"/>
  <c r="G196"/>
  <c r="I194"/>
  <c r="H194"/>
  <c r="G194"/>
  <c r="G193"/>
  <c r="G192" s="1"/>
  <c r="I192"/>
  <c r="H192"/>
  <c r="G185"/>
  <c r="H191"/>
  <c r="G191"/>
  <c r="G206"/>
  <c r="G205" s="1"/>
  <c r="G188"/>
  <c r="I90"/>
  <c r="I87"/>
  <c r="I85"/>
  <c r="H85"/>
  <c r="H87"/>
  <c r="G87"/>
  <c r="G85"/>
  <c r="G83"/>
  <c r="G82" l="1"/>
  <c r="G249"/>
  <c r="G251"/>
  <c r="H405" l="1"/>
  <c r="I263" l="1"/>
  <c r="H263"/>
  <c r="I255"/>
  <c r="H255"/>
  <c r="I159"/>
  <c r="H159"/>
  <c r="I473" l="1"/>
  <c r="H473"/>
  <c r="G473"/>
  <c r="I462"/>
  <c r="H462"/>
  <c r="I452"/>
  <c r="H452"/>
  <c r="H451" s="1"/>
  <c r="H450" s="1"/>
  <c r="I451"/>
  <c r="I450" s="1"/>
  <c r="I447"/>
  <c r="H447"/>
  <c r="I441"/>
  <c r="H441"/>
  <c r="I435"/>
  <c r="H435"/>
  <c r="I431"/>
  <c r="I430" s="1"/>
  <c r="H431"/>
  <c r="H430" s="1"/>
  <c r="I428"/>
  <c r="I427" s="1"/>
  <c r="H428"/>
  <c r="H427" s="1"/>
  <c r="I421"/>
  <c r="H421"/>
  <c r="I415"/>
  <c r="I414" s="1"/>
  <c r="I413" s="1"/>
  <c r="H415"/>
  <c r="H414" s="1"/>
  <c r="H413" s="1"/>
  <c r="I411"/>
  <c r="I410" s="1"/>
  <c r="H411"/>
  <c r="H410" s="1"/>
  <c r="I401"/>
  <c r="H401"/>
  <c r="I403"/>
  <c r="H403"/>
  <c r="I405"/>
  <c r="H400"/>
  <c r="I395"/>
  <c r="H395"/>
  <c r="I392"/>
  <c r="H392"/>
  <c r="I391"/>
  <c r="H391"/>
  <c r="I387"/>
  <c r="H387"/>
  <c r="I389"/>
  <c r="H389"/>
  <c r="H386" s="1"/>
  <c r="I386"/>
  <c r="I384"/>
  <c r="H384"/>
  <c r="I380"/>
  <c r="H380"/>
  <c r="I378"/>
  <c r="H378"/>
  <c r="I376"/>
  <c r="H376"/>
  <c r="I374"/>
  <c r="H374"/>
  <c r="I371"/>
  <c r="H371"/>
  <c r="I368"/>
  <c r="H368"/>
  <c r="I365"/>
  <c r="H365"/>
  <c r="H364" s="1"/>
  <c r="I362"/>
  <c r="H362"/>
  <c r="I361"/>
  <c r="H361"/>
  <c r="I355"/>
  <c r="H355"/>
  <c r="I353"/>
  <c r="H353"/>
  <c r="I351"/>
  <c r="H351"/>
  <c r="I347"/>
  <c r="H347"/>
  <c r="I341"/>
  <c r="H341"/>
  <c r="I335"/>
  <c r="I326"/>
  <c r="I325" s="1"/>
  <c r="H326"/>
  <c r="I315"/>
  <c r="H315"/>
  <c r="I313"/>
  <c r="H313"/>
  <c r="I311"/>
  <c r="H311"/>
  <c r="I309"/>
  <c r="H309"/>
  <c r="I307"/>
  <c r="H307"/>
  <c r="I305"/>
  <c r="H305"/>
  <c r="I303"/>
  <c r="H303"/>
  <c r="I301"/>
  <c r="H301"/>
  <c r="I295"/>
  <c r="H295"/>
  <c r="I291"/>
  <c r="H291"/>
  <c r="I288"/>
  <c r="H288"/>
  <c r="I285"/>
  <c r="H285"/>
  <c r="I283"/>
  <c r="H283"/>
  <c r="I281"/>
  <c r="I280" s="1"/>
  <c r="H281"/>
  <c r="H280" s="1"/>
  <c r="I278"/>
  <c r="H278"/>
  <c r="I276"/>
  <c r="H276"/>
  <c r="I274"/>
  <c r="H274"/>
  <c r="I272"/>
  <c r="H272"/>
  <c r="I270"/>
  <c r="H270"/>
  <c r="H269" s="1"/>
  <c r="I266"/>
  <c r="I265" s="1"/>
  <c r="H266"/>
  <c r="H265" s="1"/>
  <c r="I261"/>
  <c r="H261"/>
  <c r="I259"/>
  <c r="H259"/>
  <c r="I257"/>
  <c r="H257"/>
  <c r="I249"/>
  <c r="H249"/>
  <c r="I246"/>
  <c r="I245" s="1"/>
  <c r="H246"/>
  <c r="H245" s="1"/>
  <c r="I243"/>
  <c r="H243"/>
  <c r="I241"/>
  <c r="H241"/>
  <c r="H238"/>
  <c r="I234"/>
  <c r="I233" s="1"/>
  <c r="H234"/>
  <c r="H233" s="1"/>
  <c r="I230"/>
  <c r="I229" s="1"/>
  <c r="H230"/>
  <c r="H229" s="1"/>
  <c r="I222"/>
  <c r="H222"/>
  <c r="I220"/>
  <c r="H220"/>
  <c r="I218"/>
  <c r="H218"/>
  <c r="I216"/>
  <c r="H216"/>
  <c r="I214"/>
  <c r="H214"/>
  <c r="I211"/>
  <c r="I210" s="1"/>
  <c r="H211"/>
  <c r="I198"/>
  <c r="H198"/>
  <c r="I190"/>
  <c r="H190"/>
  <c r="I186"/>
  <c r="H186"/>
  <c r="I182"/>
  <c r="I181" s="1"/>
  <c r="H182"/>
  <c r="G182"/>
  <c r="I184"/>
  <c r="H184"/>
  <c r="I179"/>
  <c r="H179"/>
  <c r="I177"/>
  <c r="H177"/>
  <c r="I173"/>
  <c r="H173"/>
  <c r="I166"/>
  <c r="I165" s="1"/>
  <c r="H166"/>
  <c r="H165" s="1"/>
  <c r="I163"/>
  <c r="H163"/>
  <c r="I157"/>
  <c r="H157"/>
  <c r="I155"/>
  <c r="H155"/>
  <c r="I151"/>
  <c r="H151"/>
  <c r="I149"/>
  <c r="H149"/>
  <c r="I147"/>
  <c r="H147"/>
  <c r="I145"/>
  <c r="H145"/>
  <c r="I143"/>
  <c r="I142" s="1"/>
  <c r="H143"/>
  <c r="H142" s="1"/>
  <c r="I139"/>
  <c r="H140"/>
  <c r="H139" s="1"/>
  <c r="I133"/>
  <c r="H133"/>
  <c r="I131"/>
  <c r="H131"/>
  <c r="H129"/>
  <c r="I125"/>
  <c r="H125"/>
  <c r="I119"/>
  <c r="H119"/>
  <c r="I116"/>
  <c r="H116"/>
  <c r="I114"/>
  <c r="H114"/>
  <c r="I112"/>
  <c r="H112"/>
  <c r="I110"/>
  <c r="I109" s="1"/>
  <c r="H110"/>
  <c r="H109" s="1"/>
  <c r="I104"/>
  <c r="H104"/>
  <c r="I102"/>
  <c r="H102"/>
  <c r="I100"/>
  <c r="H100"/>
  <c r="I98"/>
  <c r="I89" s="1"/>
  <c r="H98"/>
  <c r="H90"/>
  <c r="I83"/>
  <c r="I82" s="1"/>
  <c r="H83"/>
  <c r="H82" s="1"/>
  <c r="I78"/>
  <c r="I77" s="1"/>
  <c r="H78"/>
  <c r="H77" s="1"/>
  <c r="I72"/>
  <c r="H72"/>
  <c r="I70"/>
  <c r="H70"/>
  <c r="I66"/>
  <c r="H66"/>
  <c r="I64"/>
  <c r="H64"/>
  <c r="I60"/>
  <c r="H60"/>
  <c r="I51"/>
  <c r="I50" s="1"/>
  <c r="H51"/>
  <c r="H50" s="1"/>
  <c r="I48"/>
  <c r="H48"/>
  <c r="I47"/>
  <c r="H47"/>
  <c r="I45"/>
  <c r="I44" s="1"/>
  <c r="H45"/>
  <c r="H44" s="1"/>
  <c r="I35"/>
  <c r="H35"/>
  <c r="I25"/>
  <c r="I24" s="1"/>
  <c r="H25"/>
  <c r="H24" s="1"/>
  <c r="I14"/>
  <c r="H14"/>
  <c r="H181" l="1"/>
  <c r="H89"/>
  <c r="I269"/>
  <c r="I400"/>
  <c r="H124"/>
  <c r="H237"/>
  <c r="H325"/>
  <c r="I364"/>
  <c r="H434"/>
  <c r="H433" s="1"/>
  <c r="I434"/>
  <c r="I433" s="1"/>
  <c r="H210"/>
  <c r="I124"/>
  <c r="G463"/>
  <c r="G462" s="1"/>
  <c r="G452"/>
  <c r="G448"/>
  <c r="G447" s="1"/>
  <c r="G441"/>
  <c r="G435"/>
  <c r="G431"/>
  <c r="G430" s="1"/>
  <c r="G428"/>
  <c r="G421"/>
  <c r="G415"/>
  <c r="G411"/>
  <c r="G410" s="1"/>
  <c r="G403"/>
  <c r="G401"/>
  <c r="G395"/>
  <c r="G392"/>
  <c r="G414" l="1"/>
  <c r="G434"/>
  <c r="G433" s="1"/>
  <c r="G450"/>
  <c r="H13"/>
  <c r="H465" s="1"/>
  <c r="G391"/>
  <c r="G427"/>
  <c r="G400"/>
  <c r="G389"/>
  <c r="G413" l="1"/>
  <c r="G387"/>
  <c r="G386" s="1"/>
  <c r="G384"/>
  <c r="G380"/>
  <c r="G378"/>
  <c r="G376"/>
  <c r="G374"/>
  <c r="G371"/>
  <c r="G368"/>
  <c r="G365"/>
  <c r="G362"/>
  <c r="G361" s="1"/>
  <c r="G355"/>
  <c r="G353"/>
  <c r="G347"/>
  <c r="G335"/>
  <c r="G315"/>
  <c r="G311"/>
  <c r="G313"/>
  <c r="G309"/>
  <c r="G307"/>
  <c r="G305"/>
  <c r="G303"/>
  <c r="G301"/>
  <c r="G295"/>
  <c r="G288"/>
  <c r="G285"/>
  <c r="G281"/>
  <c r="G278"/>
  <c r="G276"/>
  <c r="G274"/>
  <c r="G272"/>
  <c r="G270"/>
  <c r="G266"/>
  <c r="G263"/>
  <c r="G261"/>
  <c r="G259"/>
  <c r="G257"/>
  <c r="G255"/>
  <c r="G246"/>
  <c r="G245" s="1"/>
  <c r="G243"/>
  <c r="G241"/>
  <c r="G238"/>
  <c r="G237" s="1"/>
  <c r="G234"/>
  <c r="G233" s="1"/>
  <c r="G364" l="1"/>
  <c r="G269"/>
  <c r="G230"/>
  <c r="G229" s="1"/>
  <c r="G220"/>
  <c r="G218"/>
  <c r="G214"/>
  <c r="G190"/>
  <c r="G186"/>
  <c r="G184"/>
  <c r="G198"/>
  <c r="G179"/>
  <c r="G175"/>
  <c r="G173"/>
  <c r="G166"/>
  <c r="G163"/>
  <c r="G161"/>
  <c r="G159"/>
  <c r="G157"/>
  <c r="G155"/>
  <c r="G151"/>
  <c r="G149"/>
  <c r="G147"/>
  <c r="G145"/>
  <c r="G143"/>
  <c r="G133"/>
  <c r="G131"/>
  <c r="G140"/>
  <c r="G139" s="1"/>
  <c r="G127"/>
  <c r="G117"/>
  <c r="G116" s="1"/>
  <c r="G114"/>
  <c r="G112"/>
  <c r="G90"/>
  <c r="G100"/>
  <c r="G78"/>
  <c r="G77" s="1"/>
  <c r="G72"/>
  <c r="G70"/>
  <c r="G66"/>
  <c r="G64"/>
  <c r="G60"/>
  <c r="G48"/>
  <c r="G47" s="1"/>
  <c r="G45"/>
  <c r="G44" s="1"/>
  <c r="G142" l="1"/>
  <c r="G104"/>
  <c r="G98" l="1"/>
  <c r="G102" l="1"/>
  <c r="G89" s="1"/>
  <c r="G211"/>
  <c r="G125"/>
  <c r="G216" l="1"/>
  <c r="G210" s="1"/>
  <c r="G129" l="1"/>
  <c r="G124" s="1"/>
  <c r="I239"/>
  <c r="I238" s="1"/>
  <c r="I237" s="1"/>
  <c r="I13" s="1"/>
  <c r="I465" s="1"/>
  <c r="G177" l="1"/>
  <c r="G165" s="1"/>
  <c r="G13" s="1"/>
  <c r="G465" s="1"/>
  <c r="G351" l="1"/>
  <c r="G111" l="1"/>
  <c r="G110" s="1"/>
  <c r="G109" s="1"/>
  <c r="G284" l="1"/>
  <c r="G283" s="1"/>
  <c r="G280" s="1"/>
  <c r="G121"/>
  <c r="G120" s="1"/>
  <c r="G119" s="1"/>
  <c r="G346" l="1"/>
  <c r="G341" s="1"/>
</calcChain>
</file>

<file path=xl/sharedStrings.xml><?xml version="1.0" encoding="utf-8"?>
<sst xmlns="http://schemas.openxmlformats.org/spreadsheetml/2006/main" count="2509" uniqueCount="456">
  <si>
    <t>КОДЫ</t>
  </si>
  <si>
    <t>Финансовый орган</t>
  </si>
  <si>
    <t>Финансовый отдел  Администрации Махнёвского муниципального образования</t>
  </si>
  <si>
    <t>Форма по ОКУД</t>
  </si>
  <si>
    <t>0501050</t>
  </si>
  <si>
    <t>Единица измерения: тыс. руб.</t>
  </si>
  <si>
    <t>по ОКЕИ</t>
  </si>
  <si>
    <t>384</t>
  </si>
  <si>
    <t>Наименование показателя</t>
  </si>
  <si>
    <t>Код по бюджетной классификации</t>
  </si>
  <si>
    <t>Сумма на год</t>
  </si>
  <si>
    <t>раздела</t>
  </si>
  <si>
    <t>подраздела</t>
  </si>
  <si>
    <t>целевой статьи</t>
  </si>
  <si>
    <t>вида
расходов</t>
  </si>
  <si>
    <t>на 2022 год</t>
  </si>
  <si>
    <t>на 2023 год</t>
  </si>
  <si>
    <t>901</t>
  </si>
  <si>
    <t>Функционирование высшего должностного лица субъекта Российской Федерации и муниципального образования</t>
  </si>
  <si>
    <t>01</t>
  </si>
  <si>
    <t>02</t>
  </si>
  <si>
    <t>Глава муниципального образования</t>
  </si>
  <si>
    <t>7000121100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</si>
  <si>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</si>
  <si>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</si>
  <si>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</si>
  <si>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</si>
  <si>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</si>
  <si>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</si>
  <si>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муниципальных органов (центральный аппарат)</t>
  </si>
  <si>
    <t>7000321101</t>
  </si>
  <si>
    <t>Обеспечение деятельности муниципальных органов (территориальные органы)</t>
  </si>
  <si>
    <t>7000421102</t>
  </si>
  <si>
    <t>Судебная система</t>
  </si>
  <si>
    <t>05</t>
  </si>
  <si>
    <t>Финансирование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 за счет субвенции областному бюджету из Федерального бюджета</t>
  </si>
  <si>
    <t>7000951200</t>
  </si>
  <si>
    <t>Прочая закупка товаров, работ и услуг</t>
  </si>
  <si>
    <t>244</t>
  </si>
  <si>
    <t>Резервные фонды</t>
  </si>
  <si>
    <t>11</t>
  </si>
  <si>
    <t>Резервные фонды местных администраций</t>
  </si>
  <si>
    <t>7000620100</t>
  </si>
  <si>
    <t>Резервные средства</t>
  </si>
  <si>
    <t>870</t>
  </si>
  <si>
    <t>Другие общегосударственные вопросы</t>
  </si>
  <si>
    <t>13</t>
  </si>
  <si>
    <t>Осуществление обслуживание органов местного самоуправления</t>
  </si>
  <si>
    <t>0100120012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</si>
  <si>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</si>
  <si>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</si>
  <si>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</si>
  <si>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</si>
  <si>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Закупка энергетических ресурсов</t>
  </si>
  <si>
    <t>247</t>
  </si>
  <si>
    <t>Уплата налога на имущество организаций и земельного налога</t>
  </si>
  <si>
    <t>851</t>
  </si>
  <si>
    <t>Осуществление обслуживания Финансового отдела Администрации Махнёвского муниципального образования</t>
  </si>
  <si>
    <t>0100120013</t>
  </si>
  <si>
    <t>Представительские расходы Администрации Махнёвского муниципального образования</t>
  </si>
  <si>
    <t>0100220014</t>
  </si>
  <si>
    <t xml:space="preserve">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</si>
  <si>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0100341100</t>
  </si>
  <si>
    <t>Осуществление государственного полномочия Свердловской области по созданию административных комиссий, в том числе:</t>
  </si>
  <si>
    <t>0100441200</t>
  </si>
  <si>
    <t>Формирование и содержание муниципального архива</t>
  </si>
  <si>
    <t>0100520600</t>
  </si>
  <si>
    <t>Создание условий для повышения профессионализма муниципальных служащих, улучшения деятельности органов местного самоуправления на территории Махнёвского муниципального образования</t>
  </si>
  <si>
    <t>0400121000</t>
  </si>
  <si>
    <t>Иные выплаты персоналу государственных (муниципальных) органов, за исключением фонда оплаты труда</t>
  </si>
  <si>
    <t>122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</si>
  <si>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</si>
  <si>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</si>
  <si>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</si>
  <si>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7000851180</t>
  </si>
  <si>
    <t>Гражданская оборона</t>
  </si>
  <si>
    <t>09</t>
  </si>
  <si>
    <t>Создание и развитие системы обеспечения вызова экстренных оперативных служб по единому номеру «112» на территории Махнёвского МО</t>
  </si>
  <si>
    <t>0100622000</t>
  </si>
  <si>
    <t>Выполнение работ по предотвращению в чрезвычайных ситуаций</t>
  </si>
  <si>
    <t>0500120100</t>
  </si>
  <si>
    <t>Защита населения и территории от последствий чрезвычайных ситуаций природного и техногенного характера, пожарная безопасность</t>
  </si>
  <si>
    <t>10</t>
  </si>
  <si>
    <t>852</t>
  </si>
  <si>
    <t>Поддержка общественных объединений добровольной пожарной охраны, осуществляющих свою деятельность на территории Махнёвского муниципального образования</t>
  </si>
  <si>
    <t>0600122100</t>
  </si>
  <si>
    <t>Субсидии (гранты в форме субсидий), подлежащие казначейскому сопровождению</t>
  </si>
  <si>
    <t>632</t>
  </si>
  <si>
    <t>Поддержка общественных объединений добровольной пожарной дружины</t>
  </si>
  <si>
    <t>0600222200</t>
  </si>
  <si>
    <t>Создание вокруг населенных пунктов противопожарных минерализированных защитных полос.</t>
  </si>
  <si>
    <t>0600322300</t>
  </si>
  <si>
    <t>Обслуживание подъездов к источникам пожаротушения (строительство пирсов в населённых пунктах)</t>
  </si>
  <si>
    <t>0600422400</t>
  </si>
  <si>
    <t>Сельское хозяйство и рыболовство</t>
  </si>
  <si>
    <t>Организация и проведение сельскохозяйственных ярмарок на территории Махнёвского муниципального образования</t>
  </si>
  <si>
    <t>1100223120</t>
  </si>
  <si>
    <t>Мероприятия по регулированию численности безнадзорных собак на территории Махнёвского муниципального образования</t>
  </si>
  <si>
    <t>2100042П00</t>
  </si>
  <si>
    <t>Водное хозяйство</t>
  </si>
  <si>
    <t>06</t>
  </si>
  <si>
    <t>Ремонт гидротехнических сооружений</t>
  </si>
  <si>
    <t>0600622600</t>
  </si>
  <si>
    <t>Транспорт</t>
  </si>
  <si>
    <t>08</t>
  </si>
  <si>
    <t>Предоставление субсидии на организацию транспортного обслуживания населения по узкоколейной железной дороге</t>
  </si>
  <si>
    <t>0900220102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</si>
  <si>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</si>
  <si>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</si>
  <si>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Дорожное хозяйство</t>
  </si>
  <si>
    <t>Содержание автомобильных дорог общего пользования местного значения и искусственных сооружений, расположенных на них</t>
  </si>
  <si>
    <t>0900320103</t>
  </si>
  <si>
    <t>0900420104</t>
  </si>
  <si>
    <t>Выполнение работ по обустройству и содержанию сезонных дорог Махнёвского муниципального образования в зимний период года (автозимник)</t>
  </si>
  <si>
    <t>0900520105</t>
  </si>
  <si>
    <t xml:space="preserve">Капитальный ремонт, реконструкция участков существующих дорог, автомобильных и пешеходных мостов местного значения с высоким процентом износа, создание условий для формирования дорожной сети круглогодичной доступности для населения </t>
  </si>
  <si>
    <t>0900620106</t>
  </si>
  <si>
    <t>Связь и информатика</t>
  </si>
  <si>
    <t>закупка товаров, работ,услуг в сфере информац.-коммуникационных технологий</t>
  </si>
  <si>
    <t>242</t>
  </si>
  <si>
    <t>Расширение использования информационных технологий при предоставлении государственных и муниципальных услуг (обеспечение функционирования компьютерной техники, приобретение ЭЦП)</t>
  </si>
  <si>
    <t>1000223200</t>
  </si>
  <si>
    <t>Другие вопросы в области национальной экономики</t>
  </si>
  <si>
    <t>12</t>
  </si>
  <si>
    <t>Проведение инвентаризации и паспортизации объектов недвижимого имущества</t>
  </si>
  <si>
    <t>0200120001</t>
  </si>
  <si>
    <t xml:space="preserve">Обеспечение полноты и своевременности поступлений в местный бюджет (оценка рыночной стоимости муниципальной собственности) </t>
  </si>
  <si>
    <t>0200220002</t>
  </si>
  <si>
    <t>Оформление права собственности на автодороги местного значения, в том числе бесхозяйные автодороги</t>
  </si>
  <si>
    <t>0200320003</t>
  </si>
  <si>
    <t>Проведение землеустройства земель сельскохозяйственного назначения</t>
  </si>
  <si>
    <t>0200420004</t>
  </si>
  <si>
    <t>Осуществление кадастровых работ в отношении объектов недвижимости муниципальной собственности и земельных участков муниципальной и государственной собственности, право на которые не разграничены</t>
  </si>
  <si>
    <t>0200520005</t>
  </si>
  <si>
    <t>1100123110</t>
  </si>
  <si>
    <t>Разработка проекта планировки и проекта межевания территории малоэтажной застройки жилого района в западной части п.г.т. Махнёво</t>
  </si>
  <si>
    <t>Создание условий для формирования и предоставления бесплатно однократно земельных участков</t>
  </si>
  <si>
    <t>1400023000</t>
  </si>
  <si>
    <t>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 на условиях софинансирования за счет средств местного бюджета</t>
  </si>
  <si>
    <t>26001S3800</t>
  </si>
  <si>
    <t>Повышение социальной ответственности хозяйствующих субъектов при осуществлении предпринимательской деятельности на рынке товаров (работ, услуг) на территории Махнёвского муниципального образования</t>
  </si>
  <si>
    <t>3100120100</t>
  </si>
  <si>
    <t>Жилищное хозяйство</t>
  </si>
  <si>
    <t>Капитальный ремонт муниципального жилищного фонда с высоким процентом износа, в том числе взносы региональному оператору</t>
  </si>
  <si>
    <t>1300123100</t>
  </si>
  <si>
    <t>Ликвидация ветхих и аварийных домов на территории Махнёвского муниципального образования</t>
  </si>
  <si>
    <t>2800122501</t>
  </si>
  <si>
    <t>Предоставление гражданам, отселяемым из ветхих и аварийных домов, жилых помещений, построенных (приобретенных) за счет всех источников финансирования</t>
  </si>
  <si>
    <t>2800222501</t>
  </si>
  <si>
    <t>Коммунальное хозяйство</t>
  </si>
  <si>
    <t>3300121502</t>
  </si>
  <si>
    <t>Повышение энергетической эффективности в жилищном фонде (мероприятия направленные на энергосбережение, модернизацию объектов коммунальной инфраструктуры, техническое обслуживание газопроводов, энергообеспечение населённых пунктов Махнёвского МО )</t>
  </si>
  <si>
    <t>Благоустройство</t>
  </si>
  <si>
    <t>Организация обслуживания уличного освещения</t>
  </si>
  <si>
    <t>1300323710</t>
  </si>
  <si>
    <t>Организация и содержание мест захоронения</t>
  </si>
  <si>
    <t>1300423730</t>
  </si>
  <si>
    <t xml:space="preserve">Мероприятия направленные на содержание объектов благоустройства, улучшение санитарного состояния территории Махнёвского МО и выполнение комплекса работ по обеспечению полномочий органов местного самоуправления согласно закондательства РФ </t>
  </si>
  <si>
    <t>1300523750</t>
  </si>
  <si>
    <t>Другие вопросы в области жилищно-коммунального хозяйства</t>
  </si>
  <si>
    <t>1300623760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</si>
  <si>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</si>
  <si>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1300642700</t>
  </si>
  <si>
    <t>Охрана объектов растительного и животного мира и среды их обитания</t>
  </si>
  <si>
    <t>Обеспечение развития питьевого водоснабжения населенных пунктов Махнёвского муниципального образования, охрану и восстановление колодцев, родников, скважин</t>
  </si>
  <si>
    <t>1500022200</t>
  </si>
  <si>
    <t>Дошкольное образование</t>
  </si>
  <si>
    <t>07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</si>
  <si>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</si>
  <si>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1600125110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</si>
  <si>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</si>
  <si>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</si>
  <si>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</si>
  <si>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1600245110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</si>
  <si>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</si>
  <si>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1600245120</t>
  </si>
  <si>
    <t>Общее образование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</si>
  <si>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</si>
  <si>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1600325210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</si>
  <si>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</si>
  <si>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Субсидии бюджетным учреждениям на иные цели</t>
  </si>
  <si>
    <t>612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</si>
  <si>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в части финансирования расходов на оплату труда</t>
  </si>
  <si>
    <t>1600445310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</si>
  <si>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 ов и учебных</t>
  </si>
  <si>
    <t>1600445320</t>
  </si>
  <si>
    <t>Осуществление мероприятий по обеспечению питанием обучающихся в муниципальных общеобразовательных организациях</t>
  </si>
  <si>
    <t>1600545400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</si>
  <si>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</si>
  <si>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Дополнительное образование детей</t>
  </si>
  <si>
    <t>Организация предоставления дополнительного образования детей в муниципальных организациях дополнительного образованиях</t>
  </si>
  <si>
    <t>1600625310</t>
  </si>
  <si>
    <t>Молодежная политика и оздоровление детей</t>
  </si>
  <si>
    <t>Развитие военно-патриотического направления воспитания молодежи Махнёвского муниципального образования на основе формирования профессионально значимых качеств, умений и готовности к их активному проявлению в процессе военной и государственной службы, верности конституционному и воинскому долгу Мероприятия направленные на патриотическое воспитание и допризывную подготовку молодых граждан</t>
  </si>
  <si>
    <t>0700125300</t>
  </si>
  <si>
    <t>Реализация мероприятий по поэтапному внедрению Всероссийского физкультурно-спортивного комплекса "Готов к труду и обороне" (ГТО) на условиях софинансирования за счет средств местного бюджета</t>
  </si>
  <si>
    <t>Организация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</si>
  <si>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1600745500</t>
  </si>
  <si>
    <t xml:space="preserve">Организация отдыха детей в каникулярное время, включая мероприятия по обеспечению безопасности их жизни и здоровья </t>
  </si>
  <si>
    <t>1600745600</t>
  </si>
  <si>
    <t>Организация отдыха и оздоровление детей и подростков в Махнёвском муниципальном образовании на условиях софинансирования за счет средств местного бюджета</t>
  </si>
  <si>
    <t>16007S5600</t>
  </si>
  <si>
    <t>Муниципальные мероприятия, направленные на профилактику экстремизма и терроризма на территории Махнёвского муниципального образования</t>
  </si>
  <si>
    <t>2700122320</t>
  </si>
  <si>
    <t>Муниципальные мероприятия, направленные на развитие межнациональных и межконфессиональных отношений</t>
  </si>
  <si>
    <t>2700222330</t>
  </si>
  <si>
    <t>Мероприятия направленные на поддержку действующих волонтерских отрядов на территории Махнёвского муниципального образования</t>
  </si>
  <si>
    <t>3400120700</t>
  </si>
  <si>
    <t>Развитие методической, информационной, консультационной, образовательной и ресурсной поддержки добровольческой (волонтерской) деятельности</t>
  </si>
  <si>
    <t>3400220700</t>
  </si>
  <si>
    <t>Другие вопросы в области образования</t>
  </si>
  <si>
    <t>Создание системы социальной профилактики наркомании, активизация борьбы с пьянством, алкоголизмом, табакокурением</t>
  </si>
  <si>
    <t>0800122110</t>
  </si>
  <si>
    <t>Оказание правовой, психологической помощи и услуг лицам, страдающим химическими зависимостями. Развитие волнтёрского движения, взаимодействие с общественными и религиозными организациями</t>
  </si>
  <si>
    <t>0800222110</t>
  </si>
  <si>
    <t>Предоставление мер социальной поддержки студентам, обучающимся по договору о целевом обучении в учреждениях среднего или высшего образования</t>
  </si>
  <si>
    <t>1600825510</t>
  </si>
  <si>
    <t>Стипендии</t>
  </si>
  <si>
    <t>340</t>
  </si>
  <si>
    <t>Профилактика правонарушений в жилом секторе, на улицах и в общественных местах, противодействие терроризму и экстремизму, содействие повышению культуры толерантного поведения в обществе.</t>
  </si>
  <si>
    <t>2200122410</t>
  </si>
  <si>
    <t>Усиление социальной профилактики правонарушений среди несовершеннолетних</t>
  </si>
  <si>
    <t>2200222420</t>
  </si>
  <si>
    <t>Снижение уровня правонарушений среди несовершеннолетних</t>
  </si>
  <si>
    <t>2300122510</t>
  </si>
  <si>
    <t>Стабилизация, снижение темпов роста зависимости от алкогольных напитков, табакокурения. Профилактика употребления курительных смесей, наркотических средств, психотропных веществ</t>
  </si>
  <si>
    <t>2300222520</t>
  </si>
  <si>
    <t>3200121314</t>
  </si>
  <si>
    <t>3200222314</t>
  </si>
  <si>
    <t>3200323314</t>
  </si>
  <si>
    <t>Культура</t>
  </si>
  <si>
    <t>Организация деятельности учреждений культуры и культурно-досуговой сферы</t>
  </si>
  <si>
    <t>1700126100</t>
  </si>
  <si>
    <t>Организация библиотечного обслуживания населения, формирование и хранение библиотечных фондов муниципальных библиотек</t>
  </si>
  <si>
    <t>1700226200</t>
  </si>
  <si>
    <t>Организация деятельности муниципальных музеев, приобретение и хранение музейных предметов и музейных коллекций</t>
  </si>
  <si>
    <t>1700326300</t>
  </si>
  <si>
    <t>Организация и проведение общемуниципальных культурных мероприятий на территории Махнёвского муниципального образования</t>
  </si>
  <si>
    <t>1700426400</t>
  </si>
  <si>
    <t>Мероприятия в сфере культуры</t>
  </si>
  <si>
    <t>1700526500</t>
  </si>
  <si>
    <t>Обеспечение деятельности обслуживающего пресонала учреждений культуры</t>
  </si>
  <si>
    <t>1700626600</t>
  </si>
  <si>
    <t>Пенсионное обеспечение</t>
  </si>
  <si>
    <t>Обеспечение защиты социальных прав и гарантий сотрудников органов местного самоуправления Махнёвского муниципального образования и лиц, замещавших должности муниципальной службы Махнёвского муниципального образования</t>
  </si>
  <si>
    <t>0100729300</t>
  </si>
  <si>
    <t>Пособия, компенсации и иные социальные выплаты гражданам, кроме публичных нормативных обязательств</t>
  </si>
  <si>
    <t>321</t>
  </si>
  <si>
    <t>Социальное обеспечение населения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</si>
  <si>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</si>
  <si>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1800149100</t>
  </si>
  <si>
    <t>Пособия, компенсации, меры социальной поддержки по публичным нормативным обязательствам</t>
  </si>
  <si>
    <t>313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</si>
  <si>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коммунальных услуг"</t>
  </si>
  <si>
    <t>1800152500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</si>
  <si>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</si>
  <si>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1800249200</t>
  </si>
  <si>
    <t>Субвенций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 в части компенсации отдельным категориям граждан оплаты взноса на капитальный ремонт общего имущества в многоквартирном доме</t>
  </si>
  <si>
    <t>18003R4620</t>
  </si>
  <si>
    <t>Организация назначения и выплаты пожизненной ежемесячной денежной выплаты почётным гражданам Махнёвского муниципального образования</t>
  </si>
  <si>
    <t>1900129000</t>
  </si>
  <si>
    <t>322</t>
  </si>
  <si>
    <t>Создание информационной системы борьбы с туберкулёзом. Профилактика, гигиеническое воспитание и обучение населения мерам профилактики туберкулёза</t>
  </si>
  <si>
    <t>3000120300</t>
  </si>
  <si>
    <t>Субсидии организациям железнодорожного транспорта -  МУП «Алапаевская узкоколейная железная дорога»  на возмещение недополученных доходов по предоставлению льгот отдельным категориям граждан  на территории Махнёвского муниципального образования</t>
  </si>
  <si>
    <t>7000729200</t>
  </si>
  <si>
    <t>Охрана семьи и детства</t>
  </si>
  <si>
    <t>Другие вопросы в области социальной политики</t>
  </si>
  <si>
    <t>Массовый спорт</t>
  </si>
  <si>
    <t>0700228100</t>
  </si>
  <si>
    <t>Организация предоставления услуг (выполнения работ) в сфере физической культуры и спорта</t>
  </si>
  <si>
    <t>0700328200</t>
  </si>
  <si>
    <t>Реализация мероприятий по поэтапному внедрению Всероссийского физкультурно-спортивного комплекса "Готов к труду и обороне" (ГТО)</t>
  </si>
  <si>
    <t>070P548Г00</t>
  </si>
  <si>
    <t>070P5S8Г00</t>
  </si>
  <si>
    <t>периодическая печать и издательства</t>
  </si>
  <si>
    <t>Обеспечение доступа граждан и организаций к информации органов местного самоуправления муниципального образования</t>
  </si>
  <si>
    <t>0100820200</t>
  </si>
  <si>
    <t>Дума муниципального образования</t>
  </si>
  <si>
    <t>912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</si>
  <si>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</si>
  <si>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</si>
  <si>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7000221100</t>
  </si>
  <si>
    <t>Периодические издания, учрежденные органами законодательной и исполнительной власти</t>
  </si>
  <si>
    <t>7001121105</t>
  </si>
  <si>
    <t>Контрольный орган МО</t>
  </si>
  <si>
    <t>913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</si>
  <si>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</si>
  <si>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 и его заместители</t>
  </si>
  <si>
    <t>7000521103</t>
  </si>
  <si>
    <t>919</t>
  </si>
  <si>
    <t>Обеспечение деятельности муниципальных  органов (центральный аппарат)</t>
  </si>
  <si>
    <t>0300121000</t>
  </si>
  <si>
    <t>Итого</t>
  </si>
  <si>
    <t>Код источника финансирования дефицита бюджета по бюджетной классификации</t>
  </si>
  <si>
    <t>Увеличение прочих остатков денежных средств бюджета городского округа</t>
  </si>
  <si>
    <t>90101050201040000510</t>
  </si>
  <si>
    <t>Уменьшение прочих остатков денежных средств бюджета городского округа</t>
  </si>
  <si>
    <t>90101050201040000610</t>
  </si>
  <si>
    <t>____________</t>
  </si>
  <si>
    <t>8/34346/76-3-72</t>
  </si>
  <si>
    <t>(должность)</t>
  </si>
  <si>
    <t>(подпись)</t>
  </si>
  <si>
    <t>(расшифровка подписи)</t>
  </si>
  <si>
    <t>(телефон)</t>
  </si>
  <si>
    <t>Бюджетные ассигнования по источникам финансирования дефицита местного бюджета</t>
  </si>
  <si>
    <t>СВОДНАЯ БЮДЖЕТНАЯ РОСПИСЬ  БЮДЖЕТА МАХНЁВСКОГО МУНИЦИПАЛЬНОГО ОБРАЗОВАНИЯ</t>
  </si>
  <si>
    <t>Бюджетные ассигнования по расходам местного бюджета</t>
  </si>
  <si>
    <t>главного
распорядителя
средств
местного бюджета</t>
  </si>
  <si>
    <t xml:space="preserve"> </t>
  </si>
  <si>
    <t>Козуб С.А.</t>
  </si>
  <si>
    <t>Исполнитель:  И.о.начальника ФО</t>
  </si>
  <si>
    <t>Администрация Махневского муниципального образования</t>
  </si>
  <si>
    <t>0700000000</t>
  </si>
  <si>
    <t>на 2024 год</t>
  </si>
  <si>
    <t>Предоставление финансовой поддержки субъектам малого и среднего предпринимательства, осуществляющим деятельность на территории Махнёвского муниципального образования</t>
  </si>
  <si>
    <t>Обеспечение содержания объектов муниципальной собственности (коммунальные услуги и содержание жилья)</t>
  </si>
  <si>
    <t>0200620006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</si>
  <si>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</si>
  <si>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Оснащение оборудованием пришкольной детской площадки в образовательных организациях</t>
  </si>
  <si>
    <t>Организация захоронения бесхозных трупов</t>
  </si>
  <si>
    <t>1900229000</t>
  </si>
  <si>
    <t>Периодическая печать и издательства</t>
  </si>
  <si>
    <t>Организация проведения на территории Свердловской области мероприятий по предупреждению и ликвидации болезней животных</t>
  </si>
  <si>
    <t>Мероприятия в сфере с ТКО</t>
  </si>
  <si>
    <t>Проведение в образовательных организациях пропагандиских компаний, направленных на формирование участников дорожного движения стериотипов поведения</t>
  </si>
  <si>
    <t>Приобретение светоотражающих элементов, распространение их среди дошкольников и учащихся младших классов и жилеты для класса ЮИД</t>
  </si>
  <si>
    <t xml:space="preserve">Оснащение образовательных организаций оборудованием и средствами обочения безопасному поведению на дорогах (уголки правил дорожного движения,  компьютерные обучающие программы, обучающие игры) </t>
  </si>
  <si>
    <t>2100042П10</t>
  </si>
  <si>
    <t>Предоставление мер государственной поддержки в решении жилищной проблемы молодым семьям</t>
  </si>
  <si>
    <t>Социальные выплаты гражданам, кроме публичных нормативных социальных выплат</t>
  </si>
  <si>
    <t>Субсидии бюджетным организациям</t>
  </si>
  <si>
    <t>112</t>
  </si>
  <si>
    <t>Иные выплаты персоналу учреждений, за исключением фонда оплаты труда</t>
  </si>
  <si>
    <t>29001L4970</t>
  </si>
  <si>
    <t>3300221502</t>
  </si>
  <si>
    <t>Уплата иных платежей</t>
  </si>
  <si>
    <t>853</t>
  </si>
  <si>
    <t>1300523760</t>
  </si>
  <si>
    <t>16005L3040</t>
  </si>
  <si>
    <t>Уплата прочих налогов и сборов</t>
  </si>
  <si>
    <t>НА 2023 ФИНАНСОВЫЙ ГОД И ПЛАНОВЫЙ ПЕРИОД 2024 И 2025 ГОДОВ</t>
  </si>
  <si>
    <t>0900620107</t>
  </si>
  <si>
    <t>Обустройство транспортной инфраструктурой земельных участков для ижс многодетным семьям</t>
  </si>
  <si>
    <t>на 2025 год</t>
  </si>
  <si>
    <t>3500121501</t>
  </si>
  <si>
    <t>Обеспечение жилыми помещениями инвалидов и семей имеющих детей инвалидов</t>
  </si>
  <si>
    <t>Реконструкция и модернизация объектов коммунальной инфраструктуры (капитальные ремонт сетей теплоснабжения)</t>
  </si>
  <si>
    <t>1300321503</t>
  </si>
  <si>
    <t>Техническое обслуживание инженерных сетей, аварийное прикрытие, первичный пуск газа</t>
  </si>
  <si>
    <t xml:space="preserve">Реализация проектов развития систем водоснабжения, направленных на обеспечение населения Свердловской оласти качественной питьевой водой из центральных систем водоснабжения </t>
  </si>
  <si>
    <t>3300242110</t>
  </si>
  <si>
    <t>1300323720</t>
  </si>
  <si>
    <t xml:space="preserve">Обеспечение эксплуатации источников централизованного питьевого водоснабжения в соответствии с законодательством, санитарным правилам и нормативами </t>
  </si>
  <si>
    <t>Аренда (лизинг) системы осветительного оборудования</t>
  </si>
  <si>
    <t>1600345Ш00</t>
  </si>
  <si>
    <t>16003S5Ш00</t>
  </si>
  <si>
    <t>Государственная поддержка лучших сельских учреждений культуры и лучших работников сельских учреждений культуры</t>
  </si>
  <si>
    <t>1700355197</t>
  </si>
  <si>
    <t>Оснащение оборудованием пришкольной детской площадки в образовательных организациях на условиях софинансирования за счёт средств местного бюджета</t>
  </si>
  <si>
    <t>1200123110</t>
  </si>
  <si>
    <t>Выполнение работ по устронению последствий чрезвычайных ситуаций природного и техногенного характера</t>
  </si>
  <si>
    <t>0500320100</t>
  </si>
  <si>
    <t>Выполнение мероприятий по гражданской обороне</t>
  </si>
  <si>
    <t>3300321503</t>
  </si>
  <si>
    <t>Непрограмные направления деятельности</t>
  </si>
  <si>
    <t>Предоставление муниципальных гарантий</t>
  </si>
  <si>
    <t>Исполнение муниципальных гарантий</t>
  </si>
  <si>
    <t>7001520500</t>
  </si>
  <si>
    <t>843</t>
  </si>
  <si>
    <t>7000000000</t>
  </si>
  <si>
    <t>1300242110</t>
  </si>
  <si>
    <t>Реализация проектов развития систем водоснабжения, направленных на обеспечение населения Свердловской оласти качественной питьевой водой из центральных систем водоснабжения за счёт средств местного бюджета</t>
  </si>
  <si>
    <t>13002S2110</t>
  </si>
  <si>
    <t>Оснащение оборудованием пришкольной детской площадки в образовательных организациях  (местный бюджет)</t>
  </si>
  <si>
    <t>1600525210</t>
  </si>
  <si>
    <t>Исполнение судебных актов</t>
  </si>
  <si>
    <t>831</t>
  </si>
  <si>
    <t>Государственная поддержка лучших сельских учреждений культуры и лучших работников сельских учреждений культуры на условиях софинансирования за счёт средств местного бюджета</t>
  </si>
  <si>
    <t>17003S5197</t>
  </si>
  <si>
    <t>Проведение мероприятий по обеспечению деятельности советников директора по воспитанию и взаимодействию с детскими и общественными объединениями в общеобразовательных организациях</t>
  </si>
  <si>
    <t>Субсидии бюджетным учреждениям</t>
  </si>
  <si>
    <t>160ЕВ51790</t>
  </si>
  <si>
    <t>1600351790</t>
  </si>
  <si>
    <t>Приобретение автобуса для организации регулярного пассажирского сообщения автомобильным транспортом между населёнными пунктами Махнёвского муниципального образования за счёт средств резервного фонда Правительства Свердловской области</t>
  </si>
  <si>
    <t>0900240700</t>
  </si>
  <si>
    <t>16003L3030</t>
  </si>
  <si>
    <t xml:space="preserve">Обеспечение отдыха отдельных категорий детей, проживающих на территории Свердловской области, в организациях отдыха детей и их оздоровления, расположенных на побережье Черного моря </t>
  </si>
  <si>
    <t>1600745610</t>
  </si>
  <si>
    <t xml:space="preserve">Обеспечение дополнительных гарантий по социальной поддержке детей-сирот и детей оставшихся без попечения родителей, лиц из числа детей-сирот и детей, оставшихся без попечения родителей, лиц потерявших в период обучения обоих родителей или единственного родителя, обучающихся в муниципальных образовательных организациях </t>
  </si>
  <si>
    <t>1600745200</t>
  </si>
  <si>
    <t>7001021104</t>
  </si>
  <si>
    <t>830</t>
  </si>
  <si>
    <t>Оплата эл/энергии на автомобильном мосту</t>
  </si>
  <si>
    <t>Уплата налогов, сборов и иных платежей</t>
  </si>
  <si>
    <t>0500420100</t>
  </si>
  <si>
    <t>Услуги страхования</t>
  </si>
  <si>
    <t>1300723770</t>
  </si>
  <si>
    <t xml:space="preserve">Мероприятия по строительству объекта "Газоснабжение жилых домов  ГЭК "Огонёк" с.Мугай, Алапаевский район, софинансирование за счёт средств местного бюджета </t>
  </si>
  <si>
    <t>1300029200</t>
  </si>
  <si>
    <t>Ремонт автомобильных дорог общего пользования местного значения</t>
  </si>
  <si>
    <t>0900720108</t>
  </si>
  <si>
    <t>Межбюджетный трансферт на ликвидацию чрезвычайной ситуации регионального характера</t>
  </si>
  <si>
    <t>7000040700</t>
  </si>
  <si>
    <t>Резервные средства на оказание материальной помощи гражданам</t>
  </si>
  <si>
    <t>Резервные средства на санитарную очистку (обработку) территории</t>
  </si>
  <si>
    <t>1300223200</t>
  </si>
  <si>
    <t>Выполнение строительно-монтажных работ по объекту"Одноэтажная застройка в посёлке Таёжном"</t>
  </si>
  <si>
    <t>Оформление и постановка на государственный кадастровый учет земельных участков для индивидуального жилищного строительства</t>
  </si>
  <si>
    <t>Выполнение строительно-монтажных работ по объекту"Одноэтажная застройка в посёлке Таёжном"на условиях софинансирования за счёт средств местного бюджета</t>
  </si>
  <si>
    <t xml:space="preserve">На обустройство шести колодцев, расположенных по адресам: пос. Таёжный, ул.Новая, Школьная, Борьбы, Комсомольская, 8 Марта, Советская   </t>
  </si>
  <si>
    <t>0900640700</t>
  </si>
  <si>
    <t>Межбюджетный трансферт на строительство реконструкцию, капитальный ремонт, ремонт автомобильных дорог общего пользования местного значения</t>
  </si>
  <si>
    <t xml:space="preserve">Межбюджетный трансферт на обеспечение фондов оплаты труда работников органов местного самоуправления и работников муниципальных учреждений, за исключением работников, заработная плата которых определяется в соответствии с указами Президента РФ  (Обеспечение деятельности   муниципальных органов (центральный аппарат) </t>
  </si>
  <si>
    <t>7000340600</t>
  </si>
  <si>
    <t xml:space="preserve">Межбюджетный трансферт на обеспечение фондов оплаты труда работников органов местного самоуправления и работников муниципальных учреждений, за исключением работников, заработная плата которых определяется в соответствии с указами Президента РФ  (Глава муниципального образования) </t>
  </si>
  <si>
    <t>7000140600</t>
  </si>
  <si>
    <t xml:space="preserve">Межбюджетный трансферт на обеспечение фондов оплаты труда работников органов местного самоуправления и работников муниципальных учреждений, за исключением работников, заработная плата которых определяется в соответствии с указами Президента РФ  (Осуществление обслуживания органов местного самоуправления) </t>
  </si>
  <si>
    <t>0100140600</t>
  </si>
  <si>
    <t>0100640600</t>
  </si>
  <si>
    <t>Межбюджетный трансферт на обеспечение фондов оплаты труда работников органов местного самоуправления и работников муниципальных учреждений, за исключением работников, заработная плата которых определяется в соответствии с указами Президента РФ  (Обеспечение деятельности обслуживающего персонала учреждений культуры)</t>
  </si>
  <si>
    <t>1700640600</t>
  </si>
  <si>
    <t xml:space="preserve">Межбюджетный трансферт на обеспечение фондов оплаты труда работников органов местного самоуправления и работников муниципальных учреждений, за исключением работников, заработная плата которых определяется в соответствии с указами Президента РФ  (Председатель представительного органа  муниципального образования) </t>
  </si>
  <si>
    <t>7000240600</t>
  </si>
  <si>
    <t xml:space="preserve">Межбюджетный трансферт на обеспечение фондов оплаты труда работников органов местного самоуправления и работников муниципальных учреждений, за исключением работников, заработная плата которых определяется в соответствии с указами Президента РФ  (Обеспечение деятельности   муниципальных органов (центральный аппарат  представительного органа  муниципального образования) </t>
  </si>
  <si>
    <t xml:space="preserve">Межбюджетный трансферт на обеспечение фондов оплаты труда работников органов местного самоуправления и работников муниципальных учреждений, за исключением работников, заработная плата которых определяется в соответствии с указами Президента РФ  (Обеспечение деятельности   муниципальных органов (центральный аппарат)Финансовый отдел </t>
  </si>
  <si>
    <t>0300140600</t>
  </si>
  <si>
    <t xml:space="preserve">Межбюджетный трансферт на обеспечение фондов оплаты труда работников органов местного самоуправления и работников муниципальных учреждений, за исключением работников, заработная плата которых определяется в соответствии с указами Президента РФ  (Руководитель контрольно-счётной палаты муниципального образования и его заместители) </t>
  </si>
  <si>
    <t>7000540600</t>
  </si>
  <si>
    <t xml:space="preserve">Межбюджетный трансферт на обеспечение фондов оплаты труда работников органов местного самоуправления и работников муниципальных учреждений, за исключением работников, заработная плата которых определяется в соответствии с указами Президента РФ  (Обеспечение деятельности   муниципальных органов (территориальные органы) </t>
  </si>
  <si>
    <t>7000440600</t>
  </si>
  <si>
    <t xml:space="preserve">Межбюджетный трансферт на обеспечение фондов оплаты труда работников органов местного самоуправления и работников муниципальных учреждений, за исключением работников, заработная плата которых определяется в соответствии с указами Президента РФ  (Дошкольное образование) </t>
  </si>
  <si>
    <t>1600140600</t>
  </si>
  <si>
    <t>Межбюджетный трансферт на обеспечение фондов оплаты труда работников органов местного самоуправления и работников муниципальных учреждений, за исключением работников, заработная плата которых определяется в соответствии с указами Президента РФ  (Общее образование)</t>
  </si>
  <si>
    <t>1600340600</t>
  </si>
  <si>
    <t xml:space="preserve">Межбюджетный трансферт на обеспечение фондов оплаты труда работников органов местного самоуправления и работников муниципальных учреждений, за исключением работников, заработная плата которых определяется в соответствии с указами Президента РФ  (Дополнительное образование детей) </t>
  </si>
  <si>
    <t>1600640600</t>
  </si>
  <si>
    <t xml:space="preserve">Межбюджетный трансферт на обеспечение фондов оплаты труда работников органов местного самоуправления и работников муниципальных учреждений, за исключением работников, заработная плата которых определяется в соответствии с указами Президента РФ  (Массовый спорт) </t>
  </si>
  <si>
    <t>0700340600</t>
  </si>
  <si>
    <t xml:space="preserve">Информатизация муниципальных библиотек, софинансирование за счёт средств местного бюджета </t>
  </si>
  <si>
    <t>17002S6200</t>
  </si>
  <si>
    <t>Межбюджетный трансферт для приобретения вакумной машины на шассии ГАЗ NEXT</t>
  </si>
  <si>
    <t>1300340700</t>
  </si>
  <si>
    <t>Снос бесхозяйных  домовладений на территории Махнёвского муниципального образования</t>
  </si>
  <si>
    <t>1300323300</t>
  </si>
  <si>
    <t>Разработка ПСД для реконструкции очистных сооружений в пгт.Махнёво</t>
  </si>
  <si>
    <t>414</t>
  </si>
  <si>
    <t>Приложение № 1                                                                                                     к приказу Финансового отдела Администрации Махнёвского муниципального образования №43 от 08.09.2023г</t>
  </si>
  <si>
    <t xml:space="preserve">  </t>
  </si>
  <si>
    <t>Поощрение муниципальной управленческой команде за достижение значений (уровней) показателей для оценки эффективности деятельности высших должностных лиц (руководителей высших исполнительных органов государственной власти) субъектов Российской Федерации и деятельности органов исполнительной власти субъектов Российской Федерации (Центральный аппарат)</t>
  </si>
  <si>
    <t>Поощрение Главе муниципального образования, расположенного на территории Свердловской области, входящего в состав управленческой команды за достижение значений (уровней) показателей для оценки эффективности деятельности высших должностных лиц (руководителей высших исполнительных органов государственной власти) субъектов Российской Федерации и деятельности органов исполнительной власти субъектов Российской Федерации</t>
  </si>
  <si>
    <t>7000155490</t>
  </si>
  <si>
    <t>7000355490</t>
  </si>
  <si>
    <t>7000455490</t>
  </si>
  <si>
    <t>0300155490</t>
  </si>
  <si>
    <t>Поощрение муниципальной управленческой команде за достижение значений (уровней) показателей для оценки эффективности деятельности высших должностных лиц (руководителей высших исполнительных органов государственной власти) субъектов Российской Федерации и деятельности органов исполнительной власти субъектов Российской Федерации (ФО)</t>
  </si>
</sst>
</file>

<file path=xl/styles.xml><?xml version="1.0" encoding="utf-8"?>
<styleSheet xmlns="http://schemas.openxmlformats.org/spreadsheetml/2006/main">
  <fonts count="20"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Liberation Serif"/>
      <family val="1"/>
      <charset val="204"/>
    </font>
    <font>
      <sz val="10"/>
      <color rgb="FF00B0F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color rgb="FF000000"/>
      <name val="Liberation Serif"/>
      <family val="1"/>
      <charset val="204"/>
    </font>
    <font>
      <b/>
      <sz val="1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b/>
      <sz val="12"/>
      <name val="Times New Roman"/>
      <family val="1"/>
      <charset val="204"/>
    </font>
    <font>
      <sz val="10"/>
      <color rgb="FF000000"/>
      <name val="Liberation Serif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0C0C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38">
    <xf numFmtId="0" fontId="0" fillId="0" borderId="0"/>
    <xf numFmtId="0" fontId="1" fillId="0" borderId="1"/>
    <xf numFmtId="0" fontId="2" fillId="0" borderId="1">
      <alignment horizontal="center" wrapText="1"/>
    </xf>
    <xf numFmtId="0" fontId="2" fillId="0" borderId="1">
      <alignment horizontal="center" vertical="top" wrapText="1"/>
    </xf>
    <xf numFmtId="0" fontId="1" fillId="0" borderId="2"/>
    <xf numFmtId="0" fontId="1" fillId="0" borderId="3"/>
    <xf numFmtId="0" fontId="1" fillId="0" borderId="4">
      <alignment horizontal="center"/>
    </xf>
    <xf numFmtId="0" fontId="1" fillId="0" borderId="2">
      <alignment horizontal="left" wrapText="1"/>
    </xf>
    <xf numFmtId="0" fontId="1" fillId="0" borderId="5">
      <alignment horizontal="right"/>
    </xf>
    <xf numFmtId="49" fontId="1" fillId="0" borderId="6">
      <alignment horizontal="center" shrinkToFit="1"/>
    </xf>
    <xf numFmtId="0" fontId="1" fillId="0" borderId="7"/>
    <xf numFmtId="0" fontId="1" fillId="0" borderId="1">
      <alignment horizontal="right"/>
    </xf>
    <xf numFmtId="49" fontId="1" fillId="0" borderId="8">
      <alignment horizontal="center" shrinkToFit="1"/>
    </xf>
    <xf numFmtId="49" fontId="1" fillId="0" borderId="9">
      <alignment horizontal="center" shrinkToFit="1"/>
    </xf>
    <xf numFmtId="0" fontId="2" fillId="0" borderId="2">
      <alignment horizontal="center"/>
    </xf>
    <xf numFmtId="0" fontId="1" fillId="0" borderId="10">
      <alignment horizontal="center" vertical="center" wrapText="1"/>
    </xf>
    <xf numFmtId="0" fontId="1" fillId="0" borderId="10">
      <alignment horizontal="left" vertical="top" wrapText="1"/>
    </xf>
    <xf numFmtId="49" fontId="1" fillId="0" borderId="10">
      <alignment horizontal="center" vertical="top" shrinkToFit="1"/>
    </xf>
    <xf numFmtId="4" fontId="1" fillId="0" borderId="10">
      <alignment horizontal="right" vertical="top" shrinkToFit="1"/>
    </xf>
    <xf numFmtId="0" fontId="3" fillId="0" borderId="11">
      <alignment horizontal="right" vertical="top" wrapText="1"/>
    </xf>
    <xf numFmtId="49" fontId="3" fillId="0" borderId="10">
      <alignment horizontal="center" vertical="top" shrinkToFit="1"/>
    </xf>
    <xf numFmtId="4" fontId="3" fillId="2" borderId="10">
      <alignment horizontal="right" vertical="top" shrinkToFit="1"/>
    </xf>
    <xf numFmtId="0" fontId="1" fillId="0" borderId="2">
      <alignment wrapText="1"/>
    </xf>
    <xf numFmtId="0" fontId="4" fillId="0" borderId="1">
      <alignment horizontal="center" vertical="top"/>
    </xf>
    <xf numFmtId="0" fontId="4" fillId="0" borderId="7">
      <alignment horizontal="center" vertical="top"/>
    </xf>
    <xf numFmtId="0" fontId="6" fillId="0" borderId="0"/>
    <xf numFmtId="0" fontId="6" fillId="0" borderId="0"/>
    <xf numFmtId="0" fontId="6" fillId="0" borderId="0"/>
    <xf numFmtId="0" fontId="5" fillId="0" borderId="1"/>
    <xf numFmtId="0" fontId="5" fillId="0" borderId="1"/>
    <xf numFmtId="0" fontId="5" fillId="3" borderId="1"/>
    <xf numFmtId="0" fontId="1" fillId="3" borderId="1"/>
    <xf numFmtId="0" fontId="1" fillId="3" borderId="12"/>
    <xf numFmtId="0" fontId="1" fillId="3" borderId="7"/>
    <xf numFmtId="0" fontId="5" fillId="3" borderId="7"/>
    <xf numFmtId="0" fontId="5" fillId="3" borderId="13"/>
    <xf numFmtId="0" fontId="1" fillId="3" borderId="13"/>
    <xf numFmtId="0" fontId="5" fillId="3" borderId="2"/>
  </cellStyleXfs>
  <cellXfs count="111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1" fillId="0" borderId="3" xfId="5" applyNumberFormat="1" applyProtection="1"/>
    <xf numFmtId="0" fontId="1" fillId="0" borderId="4" xfId="6" applyNumberFormat="1" applyProtection="1">
      <alignment horizontal="center"/>
    </xf>
    <xf numFmtId="0" fontId="1" fillId="0" borderId="5" xfId="8" applyNumberFormat="1" applyProtection="1">
      <alignment horizontal="right"/>
    </xf>
    <xf numFmtId="49" fontId="1" fillId="0" borderId="6" xfId="9" applyNumberFormat="1" applyProtection="1">
      <alignment horizontal="center" shrinkToFit="1"/>
    </xf>
    <xf numFmtId="0" fontId="1" fillId="0" borderId="7" xfId="10" applyNumberFormat="1" applyProtection="1"/>
    <xf numFmtId="0" fontId="1" fillId="0" borderId="1" xfId="11" applyNumberFormat="1" applyProtection="1">
      <alignment horizontal="right"/>
    </xf>
    <xf numFmtId="49" fontId="1" fillId="0" borderId="8" xfId="12" applyNumberFormat="1" applyProtection="1">
      <alignment horizontal="center" shrinkToFit="1"/>
    </xf>
    <xf numFmtId="49" fontId="1" fillId="0" borderId="9" xfId="13" applyNumberFormat="1" applyProtection="1">
      <alignment horizontal="center" shrinkToFit="1"/>
    </xf>
    <xf numFmtId="0" fontId="1" fillId="0" borderId="10" xfId="15" applyNumberFormat="1" applyProtection="1">
      <alignment horizontal="center" vertical="center" wrapText="1"/>
    </xf>
    <xf numFmtId="0" fontId="1" fillId="0" borderId="10" xfId="16" applyNumberFormat="1" applyProtection="1">
      <alignment horizontal="left" vertical="top" wrapText="1"/>
    </xf>
    <xf numFmtId="49" fontId="1" fillId="0" borderId="10" xfId="17" applyNumberFormat="1" applyProtection="1">
      <alignment horizontal="center" vertical="top" shrinkToFit="1"/>
    </xf>
    <xf numFmtId="0" fontId="3" fillId="0" borderId="11" xfId="19" applyNumberFormat="1" applyProtection="1">
      <alignment horizontal="right" vertical="top" wrapText="1"/>
    </xf>
    <xf numFmtId="0" fontId="4" fillId="0" borderId="1" xfId="23" applyNumberFormat="1" applyProtection="1">
      <alignment horizontal="center" vertical="top"/>
    </xf>
    <xf numFmtId="0" fontId="4" fillId="0" borderId="7" xfId="24" applyNumberFormat="1" applyProtection="1">
      <alignment horizontal="center" vertical="top"/>
    </xf>
    <xf numFmtId="49" fontId="1" fillId="0" borderId="10" xfId="17" applyNumberFormat="1" applyProtection="1">
      <alignment horizontal="center" vertical="top" shrinkToFit="1"/>
    </xf>
    <xf numFmtId="0" fontId="7" fillId="0" borderId="10" xfId="15" applyNumberFormat="1" applyFont="1" applyProtection="1">
      <alignment horizontal="center" vertical="center" wrapText="1"/>
    </xf>
    <xf numFmtId="0" fontId="10" fillId="0" borderId="10" xfId="16" applyNumberFormat="1" applyFont="1" applyProtection="1">
      <alignment horizontal="left" vertical="top" wrapText="1"/>
    </xf>
    <xf numFmtId="4" fontId="1" fillId="4" borderId="10" xfId="18" applyNumberFormat="1" applyFill="1" applyProtection="1">
      <alignment horizontal="right" vertical="top" shrinkToFit="1"/>
    </xf>
    <xf numFmtId="49" fontId="1" fillId="0" borderId="10" xfId="17" applyNumberFormat="1" applyProtection="1">
      <alignment horizontal="center" vertical="top" shrinkToFit="1"/>
    </xf>
    <xf numFmtId="49" fontId="1" fillId="0" borderId="10" xfId="17" applyNumberFormat="1" applyProtection="1">
      <alignment horizontal="center" vertical="top" shrinkToFit="1"/>
    </xf>
    <xf numFmtId="4" fontId="1" fillId="0" borderId="10" xfId="18" applyNumberFormat="1" applyFill="1" applyProtection="1">
      <alignment horizontal="right" vertical="top" shrinkToFit="1"/>
    </xf>
    <xf numFmtId="4" fontId="7" fillId="0" borderId="10" xfId="18" applyNumberFormat="1" applyFont="1" applyFill="1" applyProtection="1">
      <alignment horizontal="right" vertical="top" shrinkToFit="1"/>
    </xf>
    <xf numFmtId="4" fontId="11" fillId="0" borderId="10" xfId="18" applyNumberFormat="1" applyFont="1" applyFill="1" applyProtection="1">
      <alignment horizontal="right" vertical="top" shrinkToFit="1"/>
    </xf>
    <xf numFmtId="4" fontId="13" fillId="0" borderId="10" xfId="18" applyNumberFormat="1" applyFont="1" applyProtection="1">
      <alignment horizontal="right" vertical="top" shrinkToFit="1"/>
    </xf>
    <xf numFmtId="4" fontId="13" fillId="0" borderId="10" xfId="18" applyNumberFormat="1" applyFont="1" applyFill="1" applyProtection="1">
      <alignment horizontal="right" vertical="top" shrinkToFit="1"/>
    </xf>
    <xf numFmtId="49" fontId="11" fillId="0" borderId="10" xfId="17" applyNumberFormat="1" applyFont="1" applyProtection="1">
      <alignment horizontal="center" vertical="top" shrinkToFit="1"/>
    </xf>
    <xf numFmtId="49" fontId="1" fillId="0" borderId="10" xfId="17" applyNumberFormat="1" applyProtection="1">
      <alignment horizontal="center" vertical="top" shrinkToFit="1"/>
    </xf>
    <xf numFmtId="49" fontId="7" fillId="0" borderId="10" xfId="17" applyNumberFormat="1" applyFont="1" applyProtection="1">
      <alignment horizontal="center" vertical="top" shrinkToFit="1"/>
    </xf>
    <xf numFmtId="49" fontId="1" fillId="0" borderId="10" xfId="17" applyNumberFormat="1" applyProtection="1">
      <alignment horizontal="center" vertical="top" shrinkToFit="1"/>
    </xf>
    <xf numFmtId="49" fontId="1" fillId="0" borderId="10" xfId="17" applyNumberFormat="1" applyProtection="1">
      <alignment horizontal="center" vertical="top" shrinkToFit="1"/>
    </xf>
    <xf numFmtId="0" fontId="7" fillId="0" borderId="10" xfId="16" applyNumberFormat="1" applyFont="1" applyProtection="1">
      <alignment horizontal="left" vertical="top" wrapText="1"/>
    </xf>
    <xf numFmtId="0" fontId="12" fillId="5" borderId="14" xfId="0" applyFont="1" applyFill="1" applyBorder="1" applyAlignment="1">
      <alignment horizontal="left" vertical="center" wrapText="1" shrinkToFit="1"/>
    </xf>
    <xf numFmtId="0" fontId="12" fillId="5" borderId="14" xfId="0" applyFont="1" applyFill="1" applyBorder="1" applyAlignment="1">
      <alignment horizontal="left" vertical="center" wrapText="1"/>
    </xf>
    <xf numFmtId="49" fontId="7" fillId="0" borderId="10" xfId="17" applyNumberFormat="1" applyFont="1" applyFill="1" applyProtection="1">
      <alignment horizontal="center" vertical="top" shrinkToFit="1"/>
    </xf>
    <xf numFmtId="4" fontId="14" fillId="2" borderId="10" xfId="21" applyNumberFormat="1" applyFont="1" applyProtection="1">
      <alignment horizontal="right" vertical="top" shrinkToFit="1"/>
    </xf>
    <xf numFmtId="49" fontId="1" fillId="0" borderId="10" xfId="17" applyNumberFormat="1" applyProtection="1">
      <alignment horizontal="center" vertical="top" shrinkToFit="1"/>
    </xf>
    <xf numFmtId="49" fontId="1" fillId="0" borderId="10" xfId="17" applyNumberFormat="1" applyProtection="1">
      <alignment horizontal="center" vertical="top" shrinkToFit="1"/>
    </xf>
    <xf numFmtId="49" fontId="1" fillId="0" borderId="10" xfId="17" applyNumberFormat="1" applyProtection="1">
      <alignment horizontal="center" vertical="top" shrinkToFit="1"/>
    </xf>
    <xf numFmtId="49" fontId="1" fillId="0" borderId="10" xfId="17" applyNumberFormat="1" applyProtection="1">
      <alignment horizontal="center" vertical="top" shrinkToFit="1"/>
    </xf>
    <xf numFmtId="0" fontId="7" fillId="0" borderId="10" xfId="16" applyNumberFormat="1" applyFont="1" applyFill="1" applyProtection="1">
      <alignment horizontal="left" vertical="top" wrapText="1"/>
    </xf>
    <xf numFmtId="49" fontId="1" fillId="0" borderId="10" xfId="17" applyNumberFormat="1" applyFill="1" applyProtection="1">
      <alignment horizontal="center" vertical="top" shrinkToFit="1"/>
    </xf>
    <xf numFmtId="49" fontId="1" fillId="0" borderId="10" xfId="17" applyNumberFormat="1" applyFont="1" applyProtection="1">
      <alignment horizontal="center" vertical="top" shrinkToFit="1"/>
    </xf>
    <xf numFmtId="49" fontId="1" fillId="0" borderId="10" xfId="17" applyNumberFormat="1" applyProtection="1">
      <alignment horizontal="center" vertical="top" shrinkToFit="1"/>
    </xf>
    <xf numFmtId="49" fontId="1" fillId="0" borderId="10" xfId="17" applyNumberFormat="1" applyProtection="1">
      <alignment horizontal="center" vertical="top" shrinkToFit="1"/>
    </xf>
    <xf numFmtId="0" fontId="15" fillId="0" borderId="0" xfId="0" applyFont="1" applyAlignment="1">
      <alignment horizontal="justify"/>
    </xf>
    <xf numFmtId="49" fontId="1" fillId="0" borderId="10" xfId="17" applyNumberFormat="1" applyFont="1" applyFill="1" applyProtection="1">
      <alignment horizontal="center" vertical="top" shrinkToFit="1"/>
    </xf>
    <xf numFmtId="49" fontId="1" fillId="0" borderId="10" xfId="16" applyNumberFormat="1" applyProtection="1">
      <alignment horizontal="left" vertical="top" wrapText="1"/>
    </xf>
    <xf numFmtId="49" fontId="1" fillId="0" borderId="10" xfId="17" applyNumberFormat="1" applyProtection="1">
      <alignment horizontal="center" vertical="top" shrinkToFit="1"/>
    </xf>
    <xf numFmtId="4" fontId="3" fillId="0" borderId="10" xfId="18" applyNumberFormat="1" applyFont="1" applyFill="1" applyProtection="1">
      <alignment horizontal="right" vertical="top" shrinkToFit="1"/>
    </xf>
    <xf numFmtId="4" fontId="11" fillId="0" borderId="10" xfId="18" applyNumberFormat="1" applyFont="1" applyProtection="1">
      <alignment horizontal="right" vertical="top" shrinkToFit="1"/>
    </xf>
    <xf numFmtId="4" fontId="1" fillId="0" borderId="10" xfId="18" applyNumberFormat="1" applyFont="1" applyFill="1" applyProtection="1">
      <alignment horizontal="right" vertical="top" shrinkToFit="1"/>
    </xf>
    <xf numFmtId="0" fontId="16" fillId="0" borderId="0" xfId="0" applyFont="1" applyProtection="1">
      <protection locked="0"/>
    </xf>
    <xf numFmtId="49" fontId="1" fillId="0" borderId="10" xfId="17" applyNumberFormat="1" applyProtection="1">
      <alignment horizontal="center" vertical="top" shrinkToFit="1"/>
    </xf>
    <xf numFmtId="49" fontId="1" fillId="0" borderId="10" xfId="17" applyNumberFormat="1" applyProtection="1">
      <alignment horizontal="center" vertical="top" shrinkToFit="1"/>
    </xf>
    <xf numFmtId="49" fontId="1" fillId="0" borderId="10" xfId="17" applyNumberFormat="1" applyProtection="1">
      <alignment horizontal="center" vertical="top" shrinkToFit="1"/>
    </xf>
    <xf numFmtId="0" fontId="17" fillId="0" borderId="0" xfId="0" applyFont="1" applyProtection="1">
      <protection locked="0"/>
    </xf>
    <xf numFmtId="0" fontId="11" fillId="0" borderId="10" xfId="16" applyNumberFormat="1" applyFont="1" applyProtection="1">
      <alignment horizontal="left" vertical="top" wrapText="1"/>
    </xf>
    <xf numFmtId="49" fontId="1" fillId="0" borderId="10" xfId="17" applyNumberFormat="1" applyProtection="1">
      <alignment horizontal="center" vertical="top" shrinkToFit="1"/>
    </xf>
    <xf numFmtId="49" fontId="1" fillId="0" borderId="10" xfId="17" applyNumberFormat="1" applyProtection="1">
      <alignment horizontal="center" vertical="top" shrinkToFit="1"/>
    </xf>
    <xf numFmtId="0" fontId="1" fillId="0" borderId="15" xfId="16" applyNumberFormat="1" applyBorder="1" applyProtection="1">
      <alignment horizontal="left" vertical="top" wrapText="1"/>
    </xf>
    <xf numFmtId="49" fontId="1" fillId="0" borderId="10" xfId="17" applyNumberFormat="1" applyProtection="1">
      <alignment horizontal="center" vertical="top" shrinkToFit="1"/>
    </xf>
    <xf numFmtId="4" fontId="14" fillId="0" borderId="10" xfId="18" applyNumberFormat="1" applyFont="1" applyFill="1" applyProtection="1">
      <alignment horizontal="right" vertical="top" shrinkToFit="1"/>
    </xf>
    <xf numFmtId="4" fontId="3" fillId="6" borderId="10" xfId="18" applyNumberFormat="1" applyFont="1" applyFill="1" applyProtection="1">
      <alignment horizontal="right" vertical="top" shrinkToFit="1"/>
    </xf>
    <xf numFmtId="4" fontId="14" fillId="6" borderId="10" xfId="18" applyNumberFormat="1" applyFont="1" applyFill="1" applyProtection="1">
      <alignment horizontal="right" vertical="top" shrinkToFit="1"/>
    </xf>
    <xf numFmtId="0" fontId="14" fillId="0" borderId="11" xfId="19" applyNumberFormat="1" applyFont="1" applyProtection="1">
      <alignment horizontal="right" vertical="top" wrapText="1"/>
    </xf>
    <xf numFmtId="49" fontId="14" fillId="0" borderId="10" xfId="20" applyNumberFormat="1" applyFont="1" applyProtection="1">
      <alignment horizontal="center" vertical="top" shrinkToFit="1"/>
    </xf>
    <xf numFmtId="4" fontId="14" fillId="0" borderId="10" xfId="21" applyNumberFormat="1" applyFont="1" applyFill="1" applyProtection="1">
      <alignment horizontal="right" vertical="top" shrinkToFit="1"/>
    </xf>
    <xf numFmtId="0" fontId="11" fillId="0" borderId="1" xfId="1" applyNumberFormat="1" applyFont="1" applyProtection="1"/>
    <xf numFmtId="0" fontId="11" fillId="0" borderId="10" xfId="15" applyNumberFormat="1" applyFont="1" applyProtection="1">
      <alignment horizontal="center" vertical="center" wrapText="1"/>
    </xf>
    <xf numFmtId="0" fontId="1" fillId="0" borderId="10" xfId="15" applyNumberFormat="1" applyProtection="1">
      <alignment horizontal="center" vertical="center" wrapText="1"/>
    </xf>
    <xf numFmtId="0" fontId="1" fillId="0" borderId="10" xfId="15" applyNumberFormat="1" applyProtection="1">
      <alignment horizontal="center" vertical="center" wrapText="1"/>
    </xf>
    <xf numFmtId="49" fontId="1" fillId="4" borderId="10" xfId="17" applyNumberFormat="1" applyFill="1" applyProtection="1">
      <alignment horizontal="center" vertical="top" shrinkToFit="1"/>
    </xf>
    <xf numFmtId="0" fontId="12" fillId="5" borderId="16" xfId="0" applyFont="1" applyFill="1" applyBorder="1" applyAlignment="1">
      <alignment horizontal="left" vertical="center" wrapText="1" shrinkToFit="1"/>
    </xf>
    <xf numFmtId="0" fontId="12" fillId="0" borderId="17" xfId="0" applyFont="1" applyBorder="1" applyAlignment="1">
      <alignment horizontal="justify"/>
    </xf>
    <xf numFmtId="0" fontId="12" fillId="5" borderId="18" xfId="0" applyFont="1" applyFill="1" applyBorder="1" applyAlignment="1">
      <alignment horizontal="left" vertical="center" wrapText="1" shrinkToFit="1"/>
    </xf>
    <xf numFmtId="49" fontId="11" fillId="0" borderId="10" xfId="17" applyNumberFormat="1" applyFont="1" applyFill="1" applyProtection="1">
      <alignment horizontal="center" vertical="top" shrinkToFit="1"/>
    </xf>
    <xf numFmtId="0" fontId="1" fillId="4" borderId="10" xfId="16" applyNumberFormat="1" applyFill="1" applyProtection="1">
      <alignment horizontal="left" vertical="top" wrapText="1"/>
    </xf>
    <xf numFmtId="0" fontId="1" fillId="0" borderId="10" xfId="16" applyNumberFormat="1" applyFill="1" applyProtection="1">
      <alignment horizontal="left" vertical="top" wrapText="1"/>
    </xf>
    <xf numFmtId="0" fontId="11" fillId="0" borderId="1" xfId="1" applyNumberFormat="1" applyFont="1" applyFill="1" applyProtection="1"/>
    <xf numFmtId="0" fontId="12" fillId="5" borderId="19" xfId="0" applyFont="1" applyFill="1" applyBorder="1" applyAlignment="1">
      <alignment horizontal="left" vertical="center" wrapText="1" shrinkToFit="1"/>
    </xf>
    <xf numFmtId="49" fontId="19" fillId="0" borderId="0" xfId="0" applyNumberFormat="1" applyFont="1" applyAlignment="1">
      <alignment wrapText="1"/>
    </xf>
    <xf numFmtId="0" fontId="12" fillId="0" borderId="0" xfId="0" applyFont="1" applyAlignment="1">
      <alignment wrapText="1"/>
    </xf>
    <xf numFmtId="0" fontId="1" fillId="0" borderId="20" xfId="16" applyNumberFormat="1" applyBorder="1" applyProtection="1">
      <alignment horizontal="left" vertical="top" wrapText="1"/>
    </xf>
    <xf numFmtId="0" fontId="8" fillId="0" borderId="0" xfId="0" applyFont="1" applyAlignment="1" applyProtection="1">
      <alignment horizontal="right" wrapText="1"/>
      <protection locked="0"/>
    </xf>
    <xf numFmtId="0" fontId="1" fillId="0" borderId="2" xfId="7" applyNumberFormat="1" applyProtection="1">
      <alignment horizontal="left" wrapText="1"/>
    </xf>
    <xf numFmtId="0" fontId="1" fillId="0" borderId="2" xfId="7">
      <alignment horizontal="left" wrapText="1"/>
    </xf>
    <xf numFmtId="0" fontId="1" fillId="0" borderId="5" xfId="8" applyNumberFormat="1" applyProtection="1">
      <alignment horizontal="right"/>
    </xf>
    <xf numFmtId="0" fontId="1" fillId="0" borderId="5" xfId="8">
      <alignment horizontal="right"/>
    </xf>
    <xf numFmtId="0" fontId="9" fillId="0" borderId="1" xfId="2" applyNumberFormat="1" applyFont="1" applyAlignment="1" applyProtection="1">
      <alignment horizontal="center" wrapText="1"/>
    </xf>
    <xf numFmtId="0" fontId="0" fillId="0" borderId="1" xfId="0" applyBorder="1" applyAlignment="1"/>
    <xf numFmtId="0" fontId="2" fillId="0" borderId="1" xfId="3" applyNumberFormat="1" applyFont="1" applyAlignment="1" applyProtection="1">
      <alignment horizontal="center" vertical="top" wrapText="1"/>
    </xf>
    <xf numFmtId="0" fontId="9" fillId="0" borderId="2" xfId="14" applyNumberFormat="1" applyFont="1" applyProtection="1">
      <alignment horizontal="center"/>
    </xf>
    <xf numFmtId="0" fontId="2" fillId="0" borderId="2" xfId="14">
      <alignment horizontal="center"/>
    </xf>
    <xf numFmtId="0" fontId="1" fillId="0" borderId="10" xfId="15" applyNumberFormat="1" applyProtection="1">
      <alignment horizontal="center" vertical="center" wrapText="1"/>
    </xf>
    <xf numFmtId="0" fontId="1" fillId="0" borderId="10" xfId="15">
      <alignment horizontal="center" vertical="center" wrapText="1"/>
    </xf>
    <xf numFmtId="0" fontId="18" fillId="0" borderId="2" xfId="14" applyNumberFormat="1" applyFont="1" applyProtection="1">
      <alignment horizontal="center"/>
    </xf>
    <xf numFmtId="0" fontId="18" fillId="0" borderId="2" xfId="14" applyFont="1">
      <alignment horizontal="center"/>
    </xf>
    <xf numFmtId="0" fontId="11" fillId="0" borderId="10" xfId="15" applyNumberFormat="1" applyFont="1" applyProtection="1">
      <alignment horizontal="center" vertical="center" wrapText="1"/>
    </xf>
    <xf numFmtId="0" fontId="11" fillId="0" borderId="10" xfId="15" applyFont="1">
      <alignment horizontal="center" vertical="center" wrapText="1"/>
    </xf>
    <xf numFmtId="49" fontId="11" fillId="0" borderId="10" xfId="17" applyNumberFormat="1" applyFont="1" applyProtection="1">
      <alignment horizontal="center" vertical="top" shrinkToFit="1"/>
    </xf>
    <xf numFmtId="49" fontId="11" fillId="0" borderId="10" xfId="17" applyFont="1">
      <alignment horizontal="center" vertical="top" shrinkToFit="1"/>
    </xf>
    <xf numFmtId="49" fontId="3" fillId="0" borderId="10" xfId="20" applyNumberFormat="1" applyProtection="1">
      <alignment horizontal="center" vertical="top" shrinkToFit="1"/>
    </xf>
    <xf numFmtId="49" fontId="3" fillId="0" borderId="10" xfId="20">
      <alignment horizontal="center" vertical="top" shrinkToFit="1"/>
    </xf>
    <xf numFmtId="0" fontId="7" fillId="0" borderId="2" xfId="22" applyNumberFormat="1" applyFont="1" applyProtection="1">
      <alignment wrapText="1"/>
    </xf>
    <xf numFmtId="0" fontId="1" fillId="0" borderId="2" xfId="22">
      <alignment wrapText="1"/>
    </xf>
    <xf numFmtId="0" fontId="1" fillId="0" borderId="2" xfId="22" applyNumberFormat="1" applyProtection="1">
      <alignment wrapText="1"/>
    </xf>
    <xf numFmtId="0" fontId="4" fillId="0" borderId="7" xfId="24" applyNumberFormat="1" applyProtection="1">
      <alignment horizontal="center" vertical="top"/>
    </xf>
    <xf numFmtId="0" fontId="4" fillId="0" borderId="7" xfId="24">
      <alignment horizontal="center" vertical="top"/>
    </xf>
  </cellXfs>
  <cellStyles count="38">
    <cellStyle name="br" xfId="27"/>
    <cellStyle name="col" xfId="26"/>
    <cellStyle name="style0" xfId="28"/>
    <cellStyle name="td" xfId="29"/>
    <cellStyle name="tr" xfId="25"/>
    <cellStyle name="xl21" xfId="30"/>
    <cellStyle name="xl22" xfId="1"/>
    <cellStyle name="xl23" xfId="2"/>
    <cellStyle name="xl24" xfId="3"/>
    <cellStyle name="xl25" xfId="4"/>
    <cellStyle name="xl26" xfId="5"/>
    <cellStyle name="xl27" xfId="6"/>
    <cellStyle name="xl28" xfId="7"/>
    <cellStyle name="xl29" xfId="8"/>
    <cellStyle name="xl30" xfId="9"/>
    <cellStyle name="xl31" xfId="10"/>
    <cellStyle name="xl32" xfId="11"/>
    <cellStyle name="xl33" xfId="12"/>
    <cellStyle name="xl34" xfId="13"/>
    <cellStyle name="xl35" xfId="31"/>
    <cellStyle name="xl36" xfId="32"/>
    <cellStyle name="xl37" xfId="14"/>
    <cellStyle name="xl38" xfId="15"/>
    <cellStyle name="xl39" xfId="33"/>
    <cellStyle name="xl40" xfId="34"/>
    <cellStyle name="xl41" xfId="35"/>
    <cellStyle name="xl42" xfId="16"/>
    <cellStyle name="xl43" xfId="17"/>
    <cellStyle name="xl44" xfId="18"/>
    <cellStyle name="xl45" xfId="36"/>
    <cellStyle name="xl46" xfId="37"/>
    <cellStyle name="xl47" xfId="19"/>
    <cellStyle name="xl48" xfId="20"/>
    <cellStyle name="xl49" xfId="21"/>
    <cellStyle name="xl50" xfId="22"/>
    <cellStyle name="xl51" xfId="23"/>
    <cellStyle name="xl52" xfId="24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8"/>
  <sheetViews>
    <sheetView showGridLines="0" tabSelected="1" topLeftCell="A457" workbookViewId="0">
      <selection activeCell="K456" sqref="K456"/>
    </sheetView>
  </sheetViews>
  <sheetFormatPr defaultRowHeight="15"/>
  <cols>
    <col min="1" max="1" width="49.28515625" style="1" customWidth="1"/>
    <col min="2" max="2" width="12.85546875" style="1" customWidth="1"/>
    <col min="3" max="3" width="9.140625" style="1" customWidth="1"/>
    <col min="4" max="4" width="10.140625" style="1" customWidth="1"/>
    <col min="5" max="5" width="10.7109375" style="1" customWidth="1"/>
    <col min="6" max="6" width="9.140625" style="1" customWidth="1"/>
    <col min="7" max="9" width="12.7109375" style="1" customWidth="1"/>
    <col min="10" max="16384" width="9.140625" style="1"/>
  </cols>
  <sheetData>
    <row r="1" spans="1:11" ht="49.5" customHeight="1">
      <c r="E1" s="86" t="s">
        <v>447</v>
      </c>
      <c r="F1" s="86"/>
      <c r="G1" s="86"/>
      <c r="H1" s="86"/>
      <c r="I1" s="86"/>
    </row>
    <row r="2" spans="1:11" ht="27" customHeight="1">
      <c r="A2" s="91" t="s">
        <v>306</v>
      </c>
      <c r="B2" s="92"/>
      <c r="C2" s="92"/>
      <c r="D2" s="92"/>
      <c r="E2" s="92"/>
      <c r="F2" s="92"/>
      <c r="G2" s="92"/>
      <c r="H2" s="92"/>
      <c r="I2" s="92"/>
    </row>
    <row r="3" spans="1:11" ht="15.75" customHeight="1">
      <c r="A3" s="93" t="s">
        <v>341</v>
      </c>
      <c r="B3" s="92"/>
      <c r="C3" s="92"/>
      <c r="D3" s="92"/>
      <c r="E3" s="92"/>
      <c r="F3" s="92"/>
      <c r="G3" s="92"/>
      <c r="H3" s="92"/>
      <c r="I3" s="92"/>
      <c r="J3" s="1" t="s">
        <v>448</v>
      </c>
    </row>
    <row r="4" spans="1:11" ht="13.5" customHeight="1">
      <c r="A4" s="2"/>
      <c r="B4" s="2"/>
      <c r="C4" s="2"/>
      <c r="D4" s="2"/>
      <c r="E4" s="2"/>
      <c r="F4" s="2"/>
      <c r="G4" s="2"/>
      <c r="H4" s="3"/>
      <c r="I4" s="4" t="s">
        <v>0</v>
      </c>
    </row>
    <row r="5" spans="1:11" ht="24.2" customHeight="1">
      <c r="A5" s="2" t="s">
        <v>1</v>
      </c>
      <c r="B5" s="87" t="s">
        <v>2</v>
      </c>
      <c r="C5" s="88"/>
      <c r="D5" s="88"/>
      <c r="E5" s="88"/>
      <c r="F5" s="88"/>
      <c r="G5" s="89" t="s">
        <v>3</v>
      </c>
      <c r="H5" s="90"/>
      <c r="I5" s="6" t="s">
        <v>4</v>
      </c>
    </row>
    <row r="6" spans="1:11" ht="12.75" customHeight="1">
      <c r="A6" s="2" t="s">
        <v>5</v>
      </c>
      <c r="B6" s="7"/>
      <c r="C6" s="7"/>
      <c r="D6" s="7"/>
      <c r="E6" s="7"/>
      <c r="F6" s="7"/>
      <c r="G6" s="8"/>
      <c r="H6" s="5"/>
      <c r="I6" s="9"/>
    </row>
    <row r="7" spans="1:11" ht="13.5" customHeight="1">
      <c r="A7" s="2"/>
      <c r="B7" s="2"/>
      <c r="C7" s="2"/>
      <c r="D7" s="2"/>
      <c r="E7" s="2"/>
      <c r="F7" s="2"/>
      <c r="G7" s="89" t="s">
        <v>6</v>
      </c>
      <c r="H7" s="90"/>
      <c r="I7" s="10" t="s">
        <v>7</v>
      </c>
      <c r="J7" s="1" t="s">
        <v>309</v>
      </c>
    </row>
    <row r="8" spans="1:11" ht="12.75" customHeight="1">
      <c r="A8" s="2"/>
      <c r="B8" s="2"/>
      <c r="C8" s="2"/>
      <c r="D8" s="2"/>
      <c r="E8" s="2"/>
      <c r="F8" s="2"/>
      <c r="G8" s="2"/>
      <c r="H8" s="2"/>
      <c r="I8" s="2"/>
    </row>
    <row r="9" spans="1:11" ht="15.75" customHeight="1">
      <c r="A9" s="94" t="s">
        <v>307</v>
      </c>
      <c r="B9" s="95"/>
      <c r="C9" s="95"/>
      <c r="D9" s="95"/>
      <c r="E9" s="95"/>
      <c r="F9" s="95"/>
      <c r="G9" s="95"/>
      <c r="H9" s="95"/>
      <c r="I9" s="95"/>
      <c r="K9" s="1" t="s">
        <v>309</v>
      </c>
    </row>
    <row r="10" spans="1:11" ht="12.75" customHeight="1">
      <c r="A10" s="96" t="s">
        <v>8</v>
      </c>
      <c r="B10" s="96" t="s">
        <v>9</v>
      </c>
      <c r="C10" s="97"/>
      <c r="D10" s="97"/>
      <c r="E10" s="97"/>
      <c r="F10" s="97"/>
      <c r="G10" s="96" t="s">
        <v>10</v>
      </c>
      <c r="H10" s="97"/>
      <c r="I10" s="97"/>
    </row>
    <row r="11" spans="1:11" ht="63.75" customHeight="1">
      <c r="A11" s="97"/>
      <c r="B11" s="18" t="s">
        <v>308</v>
      </c>
      <c r="C11" s="11" t="s">
        <v>11</v>
      </c>
      <c r="D11" s="11" t="s">
        <v>12</v>
      </c>
      <c r="E11" s="11" t="s">
        <v>13</v>
      </c>
      <c r="F11" s="11" t="s">
        <v>14</v>
      </c>
      <c r="G11" s="72" t="s">
        <v>16</v>
      </c>
      <c r="H11" s="73" t="s">
        <v>314</v>
      </c>
      <c r="I11" s="73" t="s">
        <v>344</v>
      </c>
    </row>
    <row r="12" spans="1:11" ht="12.75" customHeight="1">
      <c r="A12" s="11">
        <v>1</v>
      </c>
      <c r="B12" s="11">
        <v>2</v>
      </c>
      <c r="C12" s="11">
        <v>3</v>
      </c>
      <c r="D12" s="11">
        <v>4</v>
      </c>
      <c r="E12" s="11">
        <v>5</v>
      </c>
      <c r="F12" s="11">
        <v>6</v>
      </c>
      <c r="G12" s="11">
        <v>7</v>
      </c>
      <c r="H12" s="11">
        <v>8</v>
      </c>
      <c r="I12" s="11">
        <v>9</v>
      </c>
    </row>
    <row r="13" spans="1:11" ht="30">
      <c r="A13" s="19" t="s">
        <v>312</v>
      </c>
      <c r="B13" s="13" t="s">
        <v>17</v>
      </c>
      <c r="C13" s="13"/>
      <c r="D13" s="13"/>
      <c r="E13" s="13"/>
      <c r="F13" s="13"/>
      <c r="G13" s="27">
        <f>G14+G24+G44+G47+G50+G77+G82+G89+G109+G116+G119+G124+G139+G142+G165+G181+G210++G229+G233+G237+G245+G265+G269+G280+G325+G361+G364+G386+G391+G400+G410</f>
        <v>856293110.3900001</v>
      </c>
      <c r="H13" s="26">
        <f>H14+H24+H44+H47+H50+H77+H82+H89+H109+H116+H119+H124+H139+H142+H165+H181+H210++H229+H233+H237+H245+H265+H269+H280+H325+H361+H364+H386+H391+H400+H410</f>
        <v>393588600</v>
      </c>
      <c r="I13" s="26">
        <f>I14+I24+I44+I47+I50+I77+I82+I89+I109+I116+I119+I124+I139+I142+I165+I181+I210++I229+I233+I237+I245+I265+I269+I280+I325+I361+I364+I386+I391+I400+I410</f>
        <v>359576100</v>
      </c>
    </row>
    <row r="14" spans="1:11" ht="25.5">
      <c r="A14" s="12" t="s">
        <v>18</v>
      </c>
      <c r="B14" s="13" t="s">
        <v>17</v>
      </c>
      <c r="C14" s="13" t="s">
        <v>19</v>
      </c>
      <c r="D14" s="13" t="s">
        <v>20</v>
      </c>
      <c r="E14" s="13"/>
      <c r="F14" s="13"/>
      <c r="G14" s="51">
        <f>G15+G18+G21</f>
        <v>1840364.55</v>
      </c>
      <c r="H14" s="65">
        <f>H15</f>
        <v>1740000</v>
      </c>
      <c r="I14" s="65">
        <f>I15</f>
        <v>1740000</v>
      </c>
    </row>
    <row r="15" spans="1:11">
      <c r="A15" s="12" t="s">
        <v>21</v>
      </c>
      <c r="B15" s="13" t="s">
        <v>17</v>
      </c>
      <c r="C15" s="13" t="s">
        <v>19</v>
      </c>
      <c r="D15" s="13" t="s">
        <v>20</v>
      </c>
      <c r="E15" s="13" t="s">
        <v>22</v>
      </c>
      <c r="F15" s="13"/>
      <c r="G15" s="23">
        <f>G16+G17</f>
        <v>1740000</v>
      </c>
      <c r="H15" s="23">
        <v>1740000</v>
      </c>
      <c r="I15" s="23">
        <v>1740000</v>
      </c>
    </row>
    <row r="16" spans="1:11" ht="25.5">
      <c r="A16" s="12" t="s">
        <v>23</v>
      </c>
      <c r="B16" s="13" t="s">
        <v>17</v>
      </c>
      <c r="C16" s="13" t="s">
        <v>19</v>
      </c>
      <c r="D16" s="13" t="s">
        <v>20</v>
      </c>
      <c r="E16" s="13" t="s">
        <v>22</v>
      </c>
      <c r="F16" s="13" t="s">
        <v>24</v>
      </c>
      <c r="G16" s="23">
        <v>1336400</v>
      </c>
      <c r="H16" s="23">
        <v>1336400</v>
      </c>
      <c r="I16" s="23">
        <v>1336400</v>
      </c>
    </row>
    <row r="17" spans="1:12" ht="38.25">
      <c r="A17" s="62" t="s">
        <v>25</v>
      </c>
      <c r="B17" s="60" t="s">
        <v>17</v>
      </c>
      <c r="C17" s="60" t="s">
        <v>19</v>
      </c>
      <c r="D17" s="60" t="s">
        <v>20</v>
      </c>
      <c r="E17" s="60" t="s">
        <v>22</v>
      </c>
      <c r="F17" s="60" t="s">
        <v>26</v>
      </c>
      <c r="G17" s="23">
        <v>403600</v>
      </c>
      <c r="H17" s="23">
        <v>403600</v>
      </c>
      <c r="I17" s="23">
        <v>403600</v>
      </c>
    </row>
    <row r="18" spans="1:12" ht="84.75" customHeight="1">
      <c r="A18" s="34" t="s">
        <v>415</v>
      </c>
      <c r="B18" s="63" t="s">
        <v>17</v>
      </c>
      <c r="C18" s="63" t="s">
        <v>19</v>
      </c>
      <c r="D18" s="63" t="s">
        <v>20</v>
      </c>
      <c r="E18" s="63" t="s">
        <v>416</v>
      </c>
      <c r="F18" s="63"/>
      <c r="G18" s="51">
        <f>G19+G20</f>
        <v>22244.55</v>
      </c>
      <c r="H18" s="23">
        <v>0</v>
      </c>
      <c r="I18" s="23">
        <v>0</v>
      </c>
    </row>
    <row r="19" spans="1:12" ht="29.25" customHeight="1">
      <c r="A19" s="12" t="s">
        <v>23</v>
      </c>
      <c r="B19" s="63" t="s">
        <v>17</v>
      </c>
      <c r="C19" s="63" t="s">
        <v>19</v>
      </c>
      <c r="D19" s="63" t="s">
        <v>20</v>
      </c>
      <c r="E19" s="63" t="s">
        <v>416</v>
      </c>
      <c r="F19" s="63" t="s">
        <v>24</v>
      </c>
      <c r="G19" s="23">
        <v>17084.91</v>
      </c>
      <c r="H19" s="23">
        <v>0</v>
      </c>
      <c r="I19" s="23">
        <v>0</v>
      </c>
    </row>
    <row r="20" spans="1:12" ht="40.5" customHeight="1">
      <c r="A20" s="85" t="s">
        <v>25</v>
      </c>
      <c r="B20" s="63" t="s">
        <v>17</v>
      </c>
      <c r="C20" s="63" t="s">
        <v>19</v>
      </c>
      <c r="D20" s="63" t="s">
        <v>20</v>
      </c>
      <c r="E20" s="63" t="s">
        <v>416</v>
      </c>
      <c r="F20" s="63" t="s">
        <v>26</v>
      </c>
      <c r="G20" s="23">
        <v>5159.6400000000003</v>
      </c>
      <c r="H20" s="23">
        <v>0</v>
      </c>
      <c r="I20" s="23">
        <v>0</v>
      </c>
    </row>
    <row r="21" spans="1:12" ht="75.75" customHeight="1">
      <c r="A21" s="84" t="s">
        <v>450</v>
      </c>
      <c r="B21" s="63" t="s">
        <v>17</v>
      </c>
      <c r="C21" s="63" t="s">
        <v>19</v>
      </c>
      <c r="D21" s="63" t="s">
        <v>20</v>
      </c>
      <c r="E21" s="63" t="s">
        <v>451</v>
      </c>
      <c r="F21" s="63"/>
      <c r="G21" s="51">
        <f>G22+G23</f>
        <v>78120</v>
      </c>
      <c r="H21" s="23">
        <v>0</v>
      </c>
      <c r="I21" s="23">
        <v>0</v>
      </c>
    </row>
    <row r="22" spans="1:12" ht="27" customHeight="1">
      <c r="A22" s="12" t="s">
        <v>23</v>
      </c>
      <c r="B22" s="63" t="s">
        <v>17</v>
      </c>
      <c r="C22" s="63" t="s">
        <v>19</v>
      </c>
      <c r="D22" s="63" t="s">
        <v>20</v>
      </c>
      <c r="E22" s="63" t="s">
        <v>451</v>
      </c>
      <c r="F22" s="63" t="s">
        <v>24</v>
      </c>
      <c r="G22" s="20">
        <v>60000</v>
      </c>
      <c r="H22" s="23">
        <v>0</v>
      </c>
      <c r="I22" s="23">
        <v>0</v>
      </c>
    </row>
    <row r="23" spans="1:12" ht="40.5" customHeight="1">
      <c r="A23" s="62" t="s">
        <v>25</v>
      </c>
      <c r="B23" s="63" t="s">
        <v>17</v>
      </c>
      <c r="C23" s="63" t="s">
        <v>19</v>
      </c>
      <c r="D23" s="63" t="s">
        <v>20</v>
      </c>
      <c r="E23" s="63" t="s">
        <v>451</v>
      </c>
      <c r="F23" s="63" t="s">
        <v>26</v>
      </c>
      <c r="G23" s="20">
        <v>18120</v>
      </c>
      <c r="H23" s="23">
        <v>0</v>
      </c>
      <c r="I23" s="23">
        <v>0</v>
      </c>
    </row>
    <row r="24" spans="1:12" ht="43.5" customHeight="1">
      <c r="A24" s="12" t="s">
        <v>27</v>
      </c>
      <c r="B24" s="13" t="s">
        <v>17</v>
      </c>
      <c r="C24" s="13" t="s">
        <v>19</v>
      </c>
      <c r="D24" s="13" t="s">
        <v>28</v>
      </c>
      <c r="E24" s="13"/>
      <c r="F24" s="13"/>
      <c r="G24" s="51">
        <f>G25+G29++G32+G35+G38+G41</f>
        <v>21277415.07</v>
      </c>
      <c r="H24" s="65">
        <f>H25+H35</f>
        <v>20857409.899999999</v>
      </c>
      <c r="I24" s="65">
        <f>I25+I35</f>
        <v>20857401.899999999</v>
      </c>
      <c r="K24" s="1" t="s">
        <v>309</v>
      </c>
    </row>
    <row r="25" spans="1:12" ht="25.5">
      <c r="A25" s="12" t="s">
        <v>29</v>
      </c>
      <c r="B25" s="13" t="s">
        <v>17</v>
      </c>
      <c r="C25" s="13" t="s">
        <v>19</v>
      </c>
      <c r="D25" s="13" t="s">
        <v>28</v>
      </c>
      <c r="E25" s="13" t="s">
        <v>30</v>
      </c>
      <c r="F25" s="13"/>
      <c r="G25" s="64">
        <f>G26+G27+G28</f>
        <v>16578600</v>
      </c>
      <c r="H25" s="64">
        <f>H26+H27</f>
        <v>16302234.9</v>
      </c>
      <c r="I25" s="64">
        <f>I26+I27</f>
        <v>16302226.9</v>
      </c>
    </row>
    <row r="26" spans="1:12" ht="25.5">
      <c r="A26" s="12" t="s">
        <v>23</v>
      </c>
      <c r="B26" s="29" t="s">
        <v>17</v>
      </c>
      <c r="C26" s="29" t="s">
        <v>19</v>
      </c>
      <c r="D26" s="29" t="s">
        <v>28</v>
      </c>
      <c r="E26" s="29" t="s">
        <v>30</v>
      </c>
      <c r="F26" s="29" t="s">
        <v>24</v>
      </c>
      <c r="G26" s="23">
        <f>12235000-700000</f>
        <v>11535000</v>
      </c>
      <c r="H26" s="23">
        <v>12520924.9</v>
      </c>
      <c r="I26" s="23">
        <v>12520916.9</v>
      </c>
      <c r="L26" s="1" t="s">
        <v>309</v>
      </c>
    </row>
    <row r="27" spans="1:12" ht="38.25">
      <c r="A27" s="12" t="s">
        <v>25</v>
      </c>
      <c r="B27" s="29" t="s">
        <v>17</v>
      </c>
      <c r="C27" s="29" t="s">
        <v>19</v>
      </c>
      <c r="D27" s="29" t="s">
        <v>28</v>
      </c>
      <c r="E27" s="29" t="s">
        <v>30</v>
      </c>
      <c r="F27" s="29" t="s">
        <v>26</v>
      </c>
      <c r="G27" s="23">
        <f>3695000-300000</f>
        <v>3395000</v>
      </c>
      <c r="H27" s="23">
        <v>3781310</v>
      </c>
      <c r="I27" s="23">
        <v>3781310</v>
      </c>
    </row>
    <row r="28" spans="1:12">
      <c r="A28" s="12" t="s">
        <v>37</v>
      </c>
      <c r="B28" s="63" t="s">
        <v>17</v>
      </c>
      <c r="C28" s="63" t="s">
        <v>19</v>
      </c>
      <c r="D28" s="63" t="s">
        <v>28</v>
      </c>
      <c r="E28" s="63" t="s">
        <v>30</v>
      </c>
      <c r="F28" s="63" t="s">
        <v>38</v>
      </c>
      <c r="G28" s="20">
        <v>1648600</v>
      </c>
      <c r="H28" s="23">
        <v>0</v>
      </c>
      <c r="I28" s="23">
        <v>0</v>
      </c>
    </row>
    <row r="29" spans="1:12" ht="92.25" customHeight="1">
      <c r="A29" s="12" t="s">
        <v>413</v>
      </c>
      <c r="B29" s="63" t="s">
        <v>17</v>
      </c>
      <c r="C29" s="63" t="s">
        <v>19</v>
      </c>
      <c r="D29" s="63" t="s">
        <v>28</v>
      </c>
      <c r="E29" s="63"/>
      <c r="F29" s="63"/>
      <c r="G29" s="64">
        <f>G30+G31</f>
        <v>207593.48</v>
      </c>
      <c r="H29" s="23">
        <v>0</v>
      </c>
      <c r="I29" s="23">
        <v>0</v>
      </c>
    </row>
    <row r="30" spans="1:12" ht="26.25" customHeight="1">
      <c r="A30" s="12" t="s">
        <v>23</v>
      </c>
      <c r="B30" s="63" t="s">
        <v>17</v>
      </c>
      <c r="C30" s="63" t="s">
        <v>19</v>
      </c>
      <c r="D30" s="63" t="s">
        <v>28</v>
      </c>
      <c r="E30" s="63" t="s">
        <v>414</v>
      </c>
      <c r="F30" s="63" t="s">
        <v>24</v>
      </c>
      <c r="G30" s="23">
        <f>1046000-1046000+154144.01</f>
        <v>154144.01</v>
      </c>
      <c r="H30" s="23">
        <v>0</v>
      </c>
      <c r="I30" s="23">
        <v>0</v>
      </c>
    </row>
    <row r="31" spans="1:12" ht="40.5" customHeight="1">
      <c r="A31" s="12" t="s">
        <v>25</v>
      </c>
      <c r="B31" s="63" t="s">
        <v>17</v>
      </c>
      <c r="C31" s="63" t="s">
        <v>19</v>
      </c>
      <c r="D31" s="63" t="s">
        <v>28</v>
      </c>
      <c r="E31" s="63" t="s">
        <v>414</v>
      </c>
      <c r="F31" s="63" t="s">
        <v>26</v>
      </c>
      <c r="G31" s="23">
        <v>53449.47</v>
      </c>
      <c r="H31" s="23">
        <v>0</v>
      </c>
      <c r="I31" s="23">
        <v>0</v>
      </c>
    </row>
    <row r="32" spans="1:12" ht="88.5" customHeight="1">
      <c r="A32" s="84" t="s">
        <v>449</v>
      </c>
      <c r="B32" s="63" t="s">
        <v>17</v>
      </c>
      <c r="C32" s="63" t="s">
        <v>19</v>
      </c>
      <c r="D32" s="63" t="s">
        <v>28</v>
      </c>
      <c r="E32" s="63" t="s">
        <v>452</v>
      </c>
      <c r="F32" s="63"/>
      <c r="G32" s="64">
        <f>G33+G34</f>
        <v>46415.100000000006</v>
      </c>
      <c r="H32" s="23">
        <v>0</v>
      </c>
      <c r="I32" s="23">
        <v>0</v>
      </c>
    </row>
    <row r="33" spans="1:12" ht="27" customHeight="1">
      <c r="A33" s="12" t="s">
        <v>23</v>
      </c>
      <c r="B33" s="63" t="s">
        <v>17</v>
      </c>
      <c r="C33" s="63" t="s">
        <v>19</v>
      </c>
      <c r="D33" s="63" t="s">
        <v>28</v>
      </c>
      <c r="E33" s="63" t="s">
        <v>452</v>
      </c>
      <c r="F33" s="63" t="s">
        <v>24</v>
      </c>
      <c r="G33" s="20">
        <v>35648.400000000001</v>
      </c>
      <c r="H33" s="23">
        <v>0</v>
      </c>
      <c r="I33" s="23">
        <v>0</v>
      </c>
    </row>
    <row r="34" spans="1:12" ht="40.5" customHeight="1">
      <c r="A34" s="12" t="s">
        <v>25</v>
      </c>
      <c r="B34" s="63" t="s">
        <v>17</v>
      </c>
      <c r="C34" s="63" t="s">
        <v>19</v>
      </c>
      <c r="D34" s="63" t="s">
        <v>28</v>
      </c>
      <c r="E34" s="63" t="s">
        <v>452</v>
      </c>
      <c r="F34" s="63" t="s">
        <v>26</v>
      </c>
      <c r="G34" s="20">
        <v>10766.7</v>
      </c>
      <c r="H34" s="23">
        <v>0</v>
      </c>
      <c r="I34" s="23">
        <v>0</v>
      </c>
    </row>
    <row r="35" spans="1:12" ht="25.5">
      <c r="A35" s="12" t="s">
        <v>31</v>
      </c>
      <c r="B35" s="13" t="s">
        <v>17</v>
      </c>
      <c r="C35" s="13" t="s">
        <v>19</v>
      </c>
      <c r="D35" s="13" t="s">
        <v>28</v>
      </c>
      <c r="E35" s="13" t="s">
        <v>32</v>
      </c>
      <c r="F35" s="13"/>
      <c r="G35" s="64">
        <f>G36+G37</f>
        <v>4365950.8099999996</v>
      </c>
      <c r="H35" s="64">
        <f>H36+H37</f>
        <v>4555175</v>
      </c>
      <c r="I35" s="64">
        <f>I36+I37</f>
        <v>4555175</v>
      </c>
    </row>
    <row r="36" spans="1:12" ht="25.5">
      <c r="A36" s="12" t="s">
        <v>23</v>
      </c>
      <c r="B36" s="13" t="s">
        <v>17</v>
      </c>
      <c r="C36" s="13" t="s">
        <v>19</v>
      </c>
      <c r="D36" s="13" t="s">
        <v>28</v>
      </c>
      <c r="E36" s="13" t="s">
        <v>32</v>
      </c>
      <c r="F36" s="13" t="s">
        <v>24</v>
      </c>
      <c r="G36" s="23">
        <f>3632803.53-11838.7-50091.29-11323.53-187490.86</f>
        <v>3372059.15</v>
      </c>
      <c r="H36" s="23">
        <v>3679738</v>
      </c>
      <c r="I36" s="23">
        <v>3711910</v>
      </c>
    </row>
    <row r="37" spans="1:12" ht="38.25">
      <c r="A37" s="12" t="s">
        <v>25</v>
      </c>
      <c r="B37" s="13" t="s">
        <v>17</v>
      </c>
      <c r="C37" s="13" t="s">
        <v>19</v>
      </c>
      <c r="D37" s="13" t="s">
        <v>28</v>
      </c>
      <c r="E37" s="13" t="s">
        <v>32</v>
      </c>
      <c r="F37" s="13" t="s">
        <v>26</v>
      </c>
      <c r="G37" s="23">
        <f>1047196.47+11838.7-7813.7-57329.81</f>
        <v>993891.65999999992</v>
      </c>
      <c r="H37" s="23">
        <v>875437</v>
      </c>
      <c r="I37" s="23">
        <v>843265</v>
      </c>
      <c r="L37" s="1" t="s">
        <v>309</v>
      </c>
    </row>
    <row r="38" spans="1:12" ht="90.75" customHeight="1">
      <c r="A38" s="12" t="s">
        <v>429</v>
      </c>
      <c r="B38" s="63" t="s">
        <v>17</v>
      </c>
      <c r="C38" s="63" t="s">
        <v>19</v>
      </c>
      <c r="D38" s="63" t="s">
        <v>28</v>
      </c>
      <c r="E38" s="63" t="s">
        <v>430</v>
      </c>
      <c r="F38" s="63"/>
      <c r="G38" s="64">
        <f>G39+G40</f>
        <v>54675.199999999997</v>
      </c>
      <c r="H38" s="23">
        <v>0</v>
      </c>
      <c r="I38" s="23">
        <v>0</v>
      </c>
    </row>
    <row r="39" spans="1:12" ht="29.25" customHeight="1">
      <c r="A39" s="12" t="s">
        <v>23</v>
      </c>
      <c r="B39" s="63" t="s">
        <v>17</v>
      </c>
      <c r="C39" s="63" t="s">
        <v>19</v>
      </c>
      <c r="D39" s="63" t="s">
        <v>28</v>
      </c>
      <c r="E39" s="63" t="s">
        <v>430</v>
      </c>
      <c r="F39" s="63" t="s">
        <v>24</v>
      </c>
      <c r="G39" s="23">
        <f>7506.47+7317.41+7137.34+7214.74+7204.3+6256.41</f>
        <v>42636.67</v>
      </c>
      <c r="H39" s="23">
        <v>0</v>
      </c>
      <c r="I39" s="23">
        <v>0</v>
      </c>
    </row>
    <row r="40" spans="1:12" ht="43.5" customHeight="1">
      <c r="A40" s="12" t="s">
        <v>25</v>
      </c>
      <c r="B40" s="63" t="s">
        <v>17</v>
      </c>
      <c r="C40" s="63" t="s">
        <v>19</v>
      </c>
      <c r="D40" s="63" t="s">
        <v>28</v>
      </c>
      <c r="E40" s="63" t="s">
        <v>430</v>
      </c>
      <c r="F40" s="63" t="s">
        <v>26</v>
      </c>
      <c r="G40" s="23">
        <f>2266.95+1372.1+2155.48+2178.86+2175.7+1889.44</f>
        <v>12038.53</v>
      </c>
      <c r="H40" s="23">
        <v>0</v>
      </c>
      <c r="I40" s="23">
        <v>0</v>
      </c>
    </row>
    <row r="41" spans="1:12" ht="93.75" customHeight="1">
      <c r="A41" s="84" t="s">
        <v>449</v>
      </c>
      <c r="B41" s="63" t="s">
        <v>17</v>
      </c>
      <c r="C41" s="63" t="s">
        <v>19</v>
      </c>
      <c r="D41" s="63" t="s">
        <v>28</v>
      </c>
      <c r="E41" s="63" t="s">
        <v>453</v>
      </c>
      <c r="F41" s="63"/>
      <c r="G41" s="64">
        <f>G42+G43</f>
        <v>24180.48</v>
      </c>
      <c r="H41" s="23">
        <v>0</v>
      </c>
      <c r="I41" s="23">
        <v>0</v>
      </c>
    </row>
    <row r="42" spans="1:12" ht="29.25" customHeight="1">
      <c r="A42" s="12" t="s">
        <v>23</v>
      </c>
      <c r="B42" s="63" t="s">
        <v>17</v>
      </c>
      <c r="C42" s="63" t="s">
        <v>19</v>
      </c>
      <c r="D42" s="63" t="s">
        <v>28</v>
      </c>
      <c r="E42" s="63" t="s">
        <v>453</v>
      </c>
      <c r="F42" s="63" t="s">
        <v>24</v>
      </c>
      <c r="G42" s="23">
        <v>18571.8</v>
      </c>
      <c r="H42" s="23">
        <v>0</v>
      </c>
      <c r="I42" s="23">
        <v>0</v>
      </c>
    </row>
    <row r="43" spans="1:12" ht="41.25" customHeight="1">
      <c r="A43" s="12" t="s">
        <v>25</v>
      </c>
      <c r="B43" s="63" t="s">
        <v>17</v>
      </c>
      <c r="C43" s="63" t="s">
        <v>19</v>
      </c>
      <c r="D43" s="63" t="s">
        <v>28</v>
      </c>
      <c r="E43" s="63" t="s">
        <v>453</v>
      </c>
      <c r="F43" s="63" t="s">
        <v>26</v>
      </c>
      <c r="G43" s="23">
        <v>5608.68</v>
      </c>
      <c r="H43" s="23">
        <v>0</v>
      </c>
      <c r="I43" s="23">
        <v>0</v>
      </c>
    </row>
    <row r="44" spans="1:12">
      <c r="A44" s="12" t="s">
        <v>33</v>
      </c>
      <c r="B44" s="13" t="s">
        <v>17</v>
      </c>
      <c r="C44" s="13" t="s">
        <v>19</v>
      </c>
      <c r="D44" s="13" t="s">
        <v>34</v>
      </c>
      <c r="E44" s="13"/>
      <c r="F44" s="13"/>
      <c r="G44" s="51">
        <f t="shared" ref="G44:I45" si="0">G45</f>
        <v>700</v>
      </c>
      <c r="H44" s="65">
        <f t="shared" si="0"/>
        <v>700</v>
      </c>
      <c r="I44" s="65">
        <f t="shared" si="0"/>
        <v>600</v>
      </c>
    </row>
    <row r="45" spans="1:12" ht="89.25">
      <c r="A45" s="12" t="s">
        <v>35</v>
      </c>
      <c r="B45" s="13" t="s">
        <v>17</v>
      </c>
      <c r="C45" s="13" t="s">
        <v>19</v>
      </c>
      <c r="D45" s="13" t="s">
        <v>34</v>
      </c>
      <c r="E45" s="13" t="s">
        <v>36</v>
      </c>
      <c r="F45" s="13"/>
      <c r="G45" s="23">
        <f t="shared" si="0"/>
        <v>700</v>
      </c>
      <c r="H45" s="23">
        <f t="shared" si="0"/>
        <v>700</v>
      </c>
      <c r="I45" s="23">
        <f t="shared" si="0"/>
        <v>600</v>
      </c>
      <c r="J45" s="1" t="s">
        <v>309</v>
      </c>
    </row>
    <row r="46" spans="1:12">
      <c r="A46" s="12" t="s">
        <v>37</v>
      </c>
      <c r="B46" s="13" t="s">
        <v>17</v>
      </c>
      <c r="C46" s="13" t="s">
        <v>19</v>
      </c>
      <c r="D46" s="13" t="s">
        <v>34</v>
      </c>
      <c r="E46" s="13" t="s">
        <v>36</v>
      </c>
      <c r="F46" s="13" t="s">
        <v>38</v>
      </c>
      <c r="G46" s="23">
        <v>700</v>
      </c>
      <c r="H46" s="23">
        <v>700</v>
      </c>
      <c r="I46" s="23">
        <v>600</v>
      </c>
    </row>
    <row r="47" spans="1:12">
      <c r="A47" s="12" t="s">
        <v>39</v>
      </c>
      <c r="B47" s="13" t="s">
        <v>17</v>
      </c>
      <c r="C47" s="13" t="s">
        <v>19</v>
      </c>
      <c r="D47" s="13" t="s">
        <v>40</v>
      </c>
      <c r="E47" s="13"/>
      <c r="F47" s="13"/>
      <c r="G47" s="51">
        <f t="shared" ref="G47:I48" si="1">G48</f>
        <v>238000</v>
      </c>
      <c r="H47" s="65">
        <f t="shared" si="1"/>
        <v>0</v>
      </c>
      <c r="I47" s="65">
        <f t="shared" si="1"/>
        <v>0</v>
      </c>
    </row>
    <row r="48" spans="1:12">
      <c r="A48" s="12" t="s">
        <v>41</v>
      </c>
      <c r="B48" s="13" t="s">
        <v>17</v>
      </c>
      <c r="C48" s="13" t="s">
        <v>19</v>
      </c>
      <c r="D48" s="13" t="s">
        <v>40</v>
      </c>
      <c r="E48" s="13" t="s">
        <v>42</v>
      </c>
      <c r="F48" s="13"/>
      <c r="G48" s="23">
        <f t="shared" si="1"/>
        <v>238000</v>
      </c>
      <c r="H48" s="23">
        <f t="shared" si="1"/>
        <v>0</v>
      </c>
      <c r="I48" s="23">
        <f t="shared" si="1"/>
        <v>0</v>
      </c>
    </row>
    <row r="49" spans="1:9">
      <c r="A49" s="12" t="s">
        <v>43</v>
      </c>
      <c r="B49" s="13" t="s">
        <v>17</v>
      </c>
      <c r="C49" s="13" t="s">
        <v>19</v>
      </c>
      <c r="D49" s="13" t="s">
        <v>40</v>
      </c>
      <c r="E49" s="13" t="s">
        <v>42</v>
      </c>
      <c r="F49" s="13" t="s">
        <v>44</v>
      </c>
      <c r="G49" s="20">
        <f>300000-140000-50000+488000-140000-360000-20000+30000+360000-120000-60000-30000-20000</f>
        <v>238000</v>
      </c>
      <c r="H49" s="23">
        <v>0</v>
      </c>
      <c r="I49" s="23">
        <v>0</v>
      </c>
    </row>
    <row r="50" spans="1:9">
      <c r="A50" s="12" t="s">
        <v>45</v>
      </c>
      <c r="B50" s="13" t="s">
        <v>17</v>
      </c>
      <c r="C50" s="13" t="s">
        <v>19</v>
      </c>
      <c r="D50" s="13" t="s">
        <v>46</v>
      </c>
      <c r="E50" s="13"/>
      <c r="F50" s="13"/>
      <c r="G50" s="64">
        <f>G51+G57+G60+G62+G64+G66+G70+G72+G75</f>
        <v>28013674.010000002</v>
      </c>
      <c r="H50" s="66">
        <f>H51+H60+H62+H64+H66+H70+H72</f>
        <v>4678798.0600000005</v>
      </c>
      <c r="I50" s="66">
        <f>I51+I60+I62+I64+I66+I70+I72</f>
        <v>3425000</v>
      </c>
    </row>
    <row r="51" spans="1:9" ht="25.5">
      <c r="A51" s="12" t="s">
        <v>47</v>
      </c>
      <c r="B51" s="13" t="s">
        <v>17</v>
      </c>
      <c r="C51" s="13" t="s">
        <v>19</v>
      </c>
      <c r="D51" s="13" t="s">
        <v>46</v>
      </c>
      <c r="E51" s="13" t="s">
        <v>48</v>
      </c>
      <c r="F51" s="13"/>
      <c r="G51" s="51">
        <f>G52+G53+G54+G55+G56</f>
        <v>26392049.530000001</v>
      </c>
      <c r="H51" s="51">
        <f>H52+H53+H54+H55</f>
        <v>3241998.0600000005</v>
      </c>
      <c r="I51" s="51">
        <f>I52+I53+I54+I55</f>
        <v>1980000</v>
      </c>
    </row>
    <row r="52" spans="1:9">
      <c r="A52" s="12" t="s">
        <v>49</v>
      </c>
      <c r="B52" s="13" t="s">
        <v>17</v>
      </c>
      <c r="C52" s="13" t="s">
        <v>19</v>
      </c>
      <c r="D52" s="13" t="s">
        <v>46</v>
      </c>
      <c r="E52" s="13" t="s">
        <v>48</v>
      </c>
      <c r="F52" s="13" t="s">
        <v>50</v>
      </c>
      <c r="G52" s="23">
        <f>5500000+4152738+134885+4500000</f>
        <v>14287623</v>
      </c>
      <c r="H52" s="23">
        <f>10256605+20000-448500-9163601.94</f>
        <v>664503.06000000052</v>
      </c>
      <c r="I52" s="23">
        <v>768049</v>
      </c>
    </row>
    <row r="53" spans="1:9" ht="38.25">
      <c r="A53" s="12" t="s">
        <v>51</v>
      </c>
      <c r="B53" s="13" t="s">
        <v>17</v>
      </c>
      <c r="C53" s="13" t="s">
        <v>19</v>
      </c>
      <c r="D53" s="13" t="s">
        <v>46</v>
      </c>
      <c r="E53" s="13" t="s">
        <v>48</v>
      </c>
      <c r="F53" s="13" t="s">
        <v>52</v>
      </c>
      <c r="G53" s="23">
        <f>1662400+1254127+40733.62+1756687</f>
        <v>4713947.62</v>
      </c>
      <c r="H53" s="23">
        <f>3097495-2700000</f>
        <v>397495</v>
      </c>
      <c r="I53" s="23">
        <v>231951</v>
      </c>
    </row>
    <row r="54" spans="1:9">
      <c r="A54" s="12" t="s">
        <v>37</v>
      </c>
      <c r="B54" s="13" t="s">
        <v>17</v>
      </c>
      <c r="C54" s="13" t="s">
        <v>19</v>
      </c>
      <c r="D54" s="13" t="s">
        <v>46</v>
      </c>
      <c r="E54" s="13" t="s">
        <v>48</v>
      </c>
      <c r="F54" s="13" t="s">
        <v>38</v>
      </c>
      <c r="G54" s="23">
        <f>2913077.2+175360+30500+226000+49713.8+83478+15250+20009+100000+22313.28+31500+436457.49+476780.83-220457.49+54320+23225+23500</f>
        <v>4461027.1099999994</v>
      </c>
      <c r="H54" s="23">
        <f>5176550-20000-1500000-1500000</f>
        <v>2156550</v>
      </c>
      <c r="I54" s="23">
        <v>0</v>
      </c>
    </row>
    <row r="55" spans="1:9">
      <c r="A55" s="12" t="s">
        <v>53</v>
      </c>
      <c r="B55" s="13" t="s">
        <v>17</v>
      </c>
      <c r="C55" s="13" t="s">
        <v>19</v>
      </c>
      <c r="D55" s="13" t="s">
        <v>46</v>
      </c>
      <c r="E55" s="13" t="s">
        <v>48</v>
      </c>
      <c r="F55" s="13" t="s">
        <v>54</v>
      </c>
      <c r="G55" s="23">
        <f>1586922.8+1316661</f>
        <v>2903583.8</v>
      </c>
      <c r="H55" s="23">
        <f>2323450-2300000</f>
        <v>23450</v>
      </c>
      <c r="I55" s="23">
        <v>980000</v>
      </c>
    </row>
    <row r="56" spans="1:9">
      <c r="A56" s="77" t="s">
        <v>394</v>
      </c>
      <c r="B56" s="63" t="s">
        <v>17</v>
      </c>
      <c r="C56" s="63" t="s">
        <v>19</v>
      </c>
      <c r="D56" s="63" t="s">
        <v>46</v>
      </c>
      <c r="E56" s="63" t="s">
        <v>48</v>
      </c>
      <c r="F56" s="63" t="s">
        <v>56</v>
      </c>
      <c r="G56" s="23">
        <f>20000+5868</f>
        <v>25868</v>
      </c>
      <c r="H56" s="23">
        <v>0</v>
      </c>
      <c r="I56" s="23">
        <v>0</v>
      </c>
    </row>
    <row r="57" spans="1:9" ht="77.25" customHeight="1">
      <c r="A57" s="34" t="s">
        <v>417</v>
      </c>
      <c r="B57" s="63" t="s">
        <v>17</v>
      </c>
      <c r="C57" s="63" t="s">
        <v>19</v>
      </c>
      <c r="D57" s="63" t="s">
        <v>46</v>
      </c>
      <c r="E57" s="63"/>
      <c r="F57" s="63"/>
      <c r="G57" s="51">
        <f>G58+G59</f>
        <v>83562.94</v>
      </c>
      <c r="H57" s="23">
        <v>0</v>
      </c>
      <c r="I57" s="23">
        <v>0</v>
      </c>
    </row>
    <row r="58" spans="1:9" ht="15.75" customHeight="1">
      <c r="A58" s="12" t="s">
        <v>49</v>
      </c>
      <c r="B58" s="63" t="s">
        <v>17</v>
      </c>
      <c r="C58" s="63" t="s">
        <v>19</v>
      </c>
      <c r="D58" s="63" t="s">
        <v>46</v>
      </c>
      <c r="E58" s="63" t="s">
        <v>418</v>
      </c>
      <c r="F58" s="63" t="s">
        <v>50</v>
      </c>
      <c r="G58" s="23">
        <v>64180.45</v>
      </c>
      <c r="H58" s="23">
        <v>0</v>
      </c>
      <c r="I58" s="23">
        <v>0</v>
      </c>
    </row>
    <row r="59" spans="1:9" ht="39.75" customHeight="1">
      <c r="A59" s="12" t="s">
        <v>51</v>
      </c>
      <c r="B59" s="63" t="s">
        <v>17</v>
      </c>
      <c r="C59" s="63" t="s">
        <v>19</v>
      </c>
      <c r="D59" s="63" t="s">
        <v>46</v>
      </c>
      <c r="E59" s="63" t="s">
        <v>418</v>
      </c>
      <c r="F59" s="63" t="s">
        <v>52</v>
      </c>
      <c r="G59" s="23">
        <v>19382.490000000002</v>
      </c>
      <c r="H59" s="23">
        <v>0</v>
      </c>
      <c r="I59" s="23">
        <v>0</v>
      </c>
    </row>
    <row r="60" spans="1:9" ht="27.75" customHeight="1">
      <c r="A60" s="12" t="s">
        <v>57</v>
      </c>
      <c r="B60" s="13" t="s">
        <v>17</v>
      </c>
      <c r="C60" s="13" t="s">
        <v>19</v>
      </c>
      <c r="D60" s="13" t="s">
        <v>46</v>
      </c>
      <c r="E60" s="13" t="s">
        <v>58</v>
      </c>
      <c r="F60" s="13"/>
      <c r="G60" s="51">
        <f>G61</f>
        <v>920000</v>
      </c>
      <c r="H60" s="51">
        <f>H61</f>
        <v>920000</v>
      </c>
      <c r="I60" s="51">
        <f>I61</f>
        <v>920000</v>
      </c>
    </row>
    <row r="61" spans="1:9">
      <c r="A61" s="12" t="s">
        <v>37</v>
      </c>
      <c r="B61" s="13" t="s">
        <v>17</v>
      </c>
      <c r="C61" s="13" t="s">
        <v>19</v>
      </c>
      <c r="D61" s="13" t="s">
        <v>46</v>
      </c>
      <c r="E61" s="13" t="s">
        <v>58</v>
      </c>
      <c r="F61" s="13" t="s">
        <v>38</v>
      </c>
      <c r="G61" s="23">
        <v>920000</v>
      </c>
      <c r="H61" s="23">
        <v>920000</v>
      </c>
      <c r="I61" s="23">
        <v>920000</v>
      </c>
    </row>
    <row r="62" spans="1:9" ht="25.5">
      <c r="A62" s="12" t="s">
        <v>59</v>
      </c>
      <c r="B62" s="13" t="s">
        <v>17</v>
      </c>
      <c r="C62" s="13" t="s">
        <v>19</v>
      </c>
      <c r="D62" s="13" t="s">
        <v>46</v>
      </c>
      <c r="E62" s="13" t="s">
        <v>60</v>
      </c>
      <c r="F62" s="13"/>
      <c r="G62" s="51">
        <v>30000</v>
      </c>
      <c r="H62" s="51">
        <v>30000</v>
      </c>
      <c r="I62" s="51">
        <v>30000</v>
      </c>
    </row>
    <row r="63" spans="1:9">
      <c r="A63" s="12" t="s">
        <v>37</v>
      </c>
      <c r="B63" s="13" t="s">
        <v>17</v>
      </c>
      <c r="C63" s="13" t="s">
        <v>19</v>
      </c>
      <c r="D63" s="13" t="s">
        <v>46</v>
      </c>
      <c r="E63" s="13" t="s">
        <v>60</v>
      </c>
      <c r="F63" s="13" t="s">
        <v>38</v>
      </c>
      <c r="G63" s="23">
        <v>30000</v>
      </c>
      <c r="H63" s="23">
        <v>30000</v>
      </c>
      <c r="I63" s="23">
        <v>30000</v>
      </c>
    </row>
    <row r="64" spans="1:9" ht="63.75">
      <c r="A64" s="12" t="s">
        <v>61</v>
      </c>
      <c r="B64" s="13" t="s">
        <v>17</v>
      </c>
      <c r="C64" s="13" t="s">
        <v>19</v>
      </c>
      <c r="D64" s="13" t="s">
        <v>46</v>
      </c>
      <c r="E64" s="13" t="s">
        <v>62</v>
      </c>
      <c r="F64" s="13"/>
      <c r="G64" s="51">
        <f>G65</f>
        <v>200</v>
      </c>
      <c r="H64" s="51">
        <f>H65</f>
        <v>200</v>
      </c>
      <c r="I64" s="51">
        <f>I65</f>
        <v>200</v>
      </c>
    </row>
    <row r="65" spans="1:9">
      <c r="A65" s="12" t="s">
        <v>37</v>
      </c>
      <c r="B65" s="13" t="s">
        <v>17</v>
      </c>
      <c r="C65" s="13" t="s">
        <v>19</v>
      </c>
      <c r="D65" s="13" t="s">
        <v>46</v>
      </c>
      <c r="E65" s="13" t="s">
        <v>62</v>
      </c>
      <c r="F65" s="13" t="s">
        <v>38</v>
      </c>
      <c r="G65" s="23">
        <v>200</v>
      </c>
      <c r="H65" s="23">
        <v>200</v>
      </c>
      <c r="I65" s="23">
        <v>200</v>
      </c>
    </row>
    <row r="66" spans="1:9" ht="38.25">
      <c r="A66" s="12" t="s">
        <v>63</v>
      </c>
      <c r="B66" s="13" t="s">
        <v>17</v>
      </c>
      <c r="C66" s="13" t="s">
        <v>19</v>
      </c>
      <c r="D66" s="13" t="s">
        <v>46</v>
      </c>
      <c r="E66" s="13" t="s">
        <v>64</v>
      </c>
      <c r="F66" s="13"/>
      <c r="G66" s="51">
        <f>G67+G68+G69</f>
        <v>115200</v>
      </c>
      <c r="H66" s="51">
        <f>H67+H68+H69</f>
        <v>120900</v>
      </c>
      <c r="I66" s="51">
        <f>I67+I68+I69</f>
        <v>120900</v>
      </c>
    </row>
    <row r="67" spans="1:9" ht="25.5">
      <c r="A67" s="12" t="s">
        <v>23</v>
      </c>
      <c r="B67" s="13" t="s">
        <v>17</v>
      </c>
      <c r="C67" s="13" t="s">
        <v>19</v>
      </c>
      <c r="D67" s="13" t="s">
        <v>46</v>
      </c>
      <c r="E67" s="13" t="s">
        <v>64</v>
      </c>
      <c r="F67" s="13" t="s">
        <v>24</v>
      </c>
      <c r="G67" s="23">
        <v>65000</v>
      </c>
      <c r="H67" s="23">
        <v>68400</v>
      </c>
      <c r="I67" s="23">
        <v>68400</v>
      </c>
    </row>
    <row r="68" spans="1:9" ht="38.25">
      <c r="A68" s="12" t="s">
        <v>25</v>
      </c>
      <c r="B68" s="13" t="s">
        <v>17</v>
      </c>
      <c r="C68" s="13" t="s">
        <v>19</v>
      </c>
      <c r="D68" s="13" t="s">
        <v>46</v>
      </c>
      <c r="E68" s="13" t="s">
        <v>64</v>
      </c>
      <c r="F68" s="13" t="s">
        <v>26</v>
      </c>
      <c r="G68" s="23">
        <v>20000</v>
      </c>
      <c r="H68" s="23">
        <v>20600</v>
      </c>
      <c r="I68" s="23">
        <v>20600</v>
      </c>
    </row>
    <row r="69" spans="1:9">
      <c r="A69" s="12" t="s">
        <v>37</v>
      </c>
      <c r="B69" s="13" t="s">
        <v>17</v>
      </c>
      <c r="C69" s="13" t="s">
        <v>19</v>
      </c>
      <c r="D69" s="13" t="s">
        <v>46</v>
      </c>
      <c r="E69" s="13" t="s">
        <v>64</v>
      </c>
      <c r="F69" s="13" t="s">
        <v>38</v>
      </c>
      <c r="G69" s="23">
        <v>30200</v>
      </c>
      <c r="H69" s="23">
        <v>31900</v>
      </c>
      <c r="I69" s="23">
        <v>31900</v>
      </c>
    </row>
    <row r="70" spans="1:9">
      <c r="A70" s="12" t="s">
        <v>65</v>
      </c>
      <c r="B70" s="13" t="s">
        <v>17</v>
      </c>
      <c r="C70" s="13" t="s">
        <v>19</v>
      </c>
      <c r="D70" s="13" t="s">
        <v>46</v>
      </c>
      <c r="E70" s="13" t="s">
        <v>66</v>
      </c>
      <c r="F70" s="13"/>
      <c r="G70" s="51">
        <f>G71</f>
        <v>50000</v>
      </c>
      <c r="H70" s="51">
        <f>H71</f>
        <v>50000</v>
      </c>
      <c r="I70" s="51">
        <f>I71</f>
        <v>50000</v>
      </c>
    </row>
    <row r="71" spans="1:9">
      <c r="A71" s="12" t="s">
        <v>37</v>
      </c>
      <c r="B71" s="13" t="s">
        <v>17</v>
      </c>
      <c r="C71" s="13" t="s">
        <v>19</v>
      </c>
      <c r="D71" s="13" t="s">
        <v>46</v>
      </c>
      <c r="E71" s="13" t="s">
        <v>66</v>
      </c>
      <c r="F71" s="13" t="s">
        <v>38</v>
      </c>
      <c r="G71" s="23">
        <v>50000</v>
      </c>
      <c r="H71" s="23">
        <v>50000</v>
      </c>
      <c r="I71" s="23">
        <v>50000</v>
      </c>
    </row>
    <row r="72" spans="1:9" ht="51">
      <c r="A72" s="12" t="s">
        <v>67</v>
      </c>
      <c r="B72" s="13" t="s">
        <v>17</v>
      </c>
      <c r="C72" s="13" t="s">
        <v>19</v>
      </c>
      <c r="D72" s="13" t="s">
        <v>46</v>
      </c>
      <c r="E72" s="13" t="s">
        <v>68</v>
      </c>
      <c r="F72" s="13"/>
      <c r="G72" s="51">
        <f>G73+G74</f>
        <v>176500</v>
      </c>
      <c r="H72" s="51">
        <f>H73+H74</f>
        <v>315700</v>
      </c>
      <c r="I72" s="51">
        <f>I73+I74</f>
        <v>323900</v>
      </c>
    </row>
    <row r="73" spans="1:9" ht="38.25">
      <c r="A73" s="12" t="s">
        <v>69</v>
      </c>
      <c r="B73" s="13" t="s">
        <v>17</v>
      </c>
      <c r="C73" s="13" t="s">
        <v>19</v>
      </c>
      <c r="D73" s="13" t="s">
        <v>46</v>
      </c>
      <c r="E73" s="13" t="s">
        <v>68</v>
      </c>
      <c r="F73" s="13" t="s">
        <v>70</v>
      </c>
      <c r="G73" s="23">
        <v>101000</v>
      </c>
      <c r="H73" s="23">
        <v>110800</v>
      </c>
      <c r="I73" s="23">
        <v>110800</v>
      </c>
    </row>
    <row r="74" spans="1:9">
      <c r="A74" s="12" t="s">
        <v>37</v>
      </c>
      <c r="B74" s="13" t="s">
        <v>17</v>
      </c>
      <c r="C74" s="13" t="s">
        <v>19</v>
      </c>
      <c r="D74" s="13" t="s">
        <v>46</v>
      </c>
      <c r="E74" s="13" t="s">
        <v>68</v>
      </c>
      <c r="F74" s="13" t="s">
        <v>38</v>
      </c>
      <c r="G74" s="23">
        <f>98500-23000</f>
        <v>75500</v>
      </c>
      <c r="H74" s="23">
        <v>204900</v>
      </c>
      <c r="I74" s="23">
        <v>213100</v>
      </c>
    </row>
    <row r="75" spans="1:9">
      <c r="A75" s="12" t="s">
        <v>376</v>
      </c>
      <c r="B75" s="63" t="s">
        <v>17</v>
      </c>
      <c r="C75" s="63" t="s">
        <v>19</v>
      </c>
      <c r="D75" s="63" t="s">
        <v>46</v>
      </c>
      <c r="E75" s="63" t="s">
        <v>391</v>
      </c>
      <c r="F75" s="63"/>
      <c r="G75" s="51">
        <f>G76</f>
        <v>246161.54000000004</v>
      </c>
      <c r="H75" s="23">
        <v>0</v>
      </c>
      <c r="I75" s="23">
        <v>0</v>
      </c>
    </row>
    <row r="76" spans="1:9">
      <c r="A76" s="12" t="s">
        <v>376</v>
      </c>
      <c r="B76" s="63" t="s">
        <v>17</v>
      </c>
      <c r="C76" s="63" t="s">
        <v>19</v>
      </c>
      <c r="D76" s="63" t="s">
        <v>46</v>
      </c>
      <c r="E76" s="63" t="s">
        <v>391</v>
      </c>
      <c r="F76" s="63" t="s">
        <v>392</v>
      </c>
      <c r="G76" s="23">
        <f>134649.45+54053.2+1300+56158.89</f>
        <v>246161.54000000004</v>
      </c>
      <c r="H76" s="23">
        <v>0</v>
      </c>
      <c r="I76" s="23">
        <v>0</v>
      </c>
    </row>
    <row r="77" spans="1:9">
      <c r="A77" s="12" t="s">
        <v>71</v>
      </c>
      <c r="B77" s="13" t="s">
        <v>17</v>
      </c>
      <c r="C77" s="13" t="s">
        <v>20</v>
      </c>
      <c r="D77" s="13" t="s">
        <v>72</v>
      </c>
      <c r="E77" s="55"/>
      <c r="F77" s="13"/>
      <c r="G77" s="51">
        <f>G78</f>
        <v>336400</v>
      </c>
      <c r="H77" s="51">
        <f>H78</f>
        <v>351400</v>
      </c>
      <c r="I77" s="65">
        <f>I78</f>
        <v>363600</v>
      </c>
    </row>
    <row r="78" spans="1:9" ht="25.5">
      <c r="A78" s="12" t="s">
        <v>73</v>
      </c>
      <c r="B78" s="13" t="s">
        <v>17</v>
      </c>
      <c r="C78" s="13" t="s">
        <v>20</v>
      </c>
      <c r="D78" s="13" t="s">
        <v>72</v>
      </c>
      <c r="E78" s="13" t="s">
        <v>74</v>
      </c>
      <c r="F78" s="13"/>
      <c r="G78" s="23">
        <f>G79+G80+G81</f>
        <v>336400</v>
      </c>
      <c r="H78" s="23">
        <f>H79+H80+H81</f>
        <v>351400</v>
      </c>
      <c r="I78" s="23">
        <f>I79+I80+I81</f>
        <v>363600</v>
      </c>
    </row>
    <row r="79" spans="1:9" ht="25.5">
      <c r="A79" s="12" t="s">
        <v>23</v>
      </c>
      <c r="B79" s="13" t="s">
        <v>17</v>
      </c>
      <c r="C79" s="13" t="s">
        <v>20</v>
      </c>
      <c r="D79" s="13" t="s">
        <v>72</v>
      </c>
      <c r="E79" s="13" t="s">
        <v>74</v>
      </c>
      <c r="F79" s="13" t="s">
        <v>24</v>
      </c>
      <c r="G79" s="23">
        <v>236704.4</v>
      </c>
      <c r="H79" s="23">
        <v>248685.6</v>
      </c>
      <c r="I79" s="23">
        <v>248685.6</v>
      </c>
    </row>
    <row r="80" spans="1:9" ht="38.25">
      <c r="A80" s="12" t="s">
        <v>25</v>
      </c>
      <c r="B80" s="13" t="s">
        <v>17</v>
      </c>
      <c r="C80" s="13" t="s">
        <v>20</v>
      </c>
      <c r="D80" s="13" t="s">
        <v>72</v>
      </c>
      <c r="E80" s="13" t="s">
        <v>74</v>
      </c>
      <c r="F80" s="13" t="s">
        <v>26</v>
      </c>
      <c r="G80" s="23">
        <v>72095.600000000006</v>
      </c>
      <c r="H80" s="23">
        <v>75914.399999999994</v>
      </c>
      <c r="I80" s="23">
        <v>75914.399999999994</v>
      </c>
    </row>
    <row r="81" spans="1:9">
      <c r="A81" s="12" t="s">
        <v>37</v>
      </c>
      <c r="B81" s="13" t="s">
        <v>17</v>
      </c>
      <c r="C81" s="13" t="s">
        <v>20</v>
      </c>
      <c r="D81" s="13" t="s">
        <v>72</v>
      </c>
      <c r="E81" s="13" t="s">
        <v>74</v>
      </c>
      <c r="F81" s="13" t="s">
        <v>38</v>
      </c>
      <c r="G81" s="23">
        <v>27600</v>
      </c>
      <c r="H81" s="23">
        <v>26800</v>
      </c>
      <c r="I81" s="23">
        <v>39000</v>
      </c>
    </row>
    <row r="82" spans="1:9">
      <c r="A82" s="12" t="s">
        <v>75</v>
      </c>
      <c r="B82" s="13" t="s">
        <v>17</v>
      </c>
      <c r="C82" s="13" t="s">
        <v>72</v>
      </c>
      <c r="D82" s="13" t="s">
        <v>76</v>
      </c>
      <c r="E82" s="13"/>
      <c r="F82" s="13"/>
      <c r="G82" s="51">
        <f>G83+G85+G87</f>
        <v>432801.3</v>
      </c>
      <c r="H82" s="51">
        <f t="shared" ref="H82:I83" si="2">H83</f>
        <v>370100</v>
      </c>
      <c r="I82" s="65">
        <f t="shared" si="2"/>
        <v>370100</v>
      </c>
    </row>
    <row r="83" spans="1:9" ht="25.5">
      <c r="A83" s="12" t="s">
        <v>79</v>
      </c>
      <c r="B83" s="13" t="s">
        <v>17</v>
      </c>
      <c r="C83" s="13" t="s">
        <v>72</v>
      </c>
      <c r="D83" s="13" t="s">
        <v>76</v>
      </c>
      <c r="E83" s="13" t="s">
        <v>80</v>
      </c>
      <c r="F83" s="13"/>
      <c r="G83" s="51">
        <f>G84</f>
        <v>350369.3</v>
      </c>
      <c r="H83" s="51">
        <f t="shared" si="2"/>
        <v>370100</v>
      </c>
      <c r="I83" s="51">
        <f t="shared" si="2"/>
        <v>370100</v>
      </c>
    </row>
    <row r="84" spans="1:9">
      <c r="A84" s="12" t="s">
        <v>37</v>
      </c>
      <c r="B84" s="13" t="s">
        <v>17</v>
      </c>
      <c r="C84" s="13" t="s">
        <v>72</v>
      </c>
      <c r="D84" s="13" t="s">
        <v>76</v>
      </c>
      <c r="E84" s="13" t="s">
        <v>80</v>
      </c>
      <c r="F84" s="13" t="s">
        <v>38</v>
      </c>
      <c r="G84" s="23">
        <f>370100-19730.7</f>
        <v>350369.3</v>
      </c>
      <c r="H84" s="23">
        <v>370100</v>
      </c>
      <c r="I84" s="23">
        <v>370100</v>
      </c>
    </row>
    <row r="85" spans="1:9" ht="38.25">
      <c r="A85" s="12" t="s">
        <v>361</v>
      </c>
      <c r="B85" s="63" t="s">
        <v>17</v>
      </c>
      <c r="C85" s="63" t="s">
        <v>72</v>
      </c>
      <c r="D85" s="63" t="s">
        <v>76</v>
      </c>
      <c r="E85" s="63" t="s">
        <v>362</v>
      </c>
      <c r="F85" s="63"/>
      <c r="G85" s="51">
        <f>G86</f>
        <v>69216</v>
      </c>
      <c r="H85" s="51">
        <f>H86</f>
        <v>0</v>
      </c>
      <c r="I85" s="51">
        <f>I86</f>
        <v>0</v>
      </c>
    </row>
    <row r="86" spans="1:9">
      <c r="A86" s="12" t="s">
        <v>37</v>
      </c>
      <c r="B86" s="63" t="s">
        <v>17</v>
      </c>
      <c r="C86" s="63" t="s">
        <v>72</v>
      </c>
      <c r="D86" s="63" t="s">
        <v>76</v>
      </c>
      <c r="E86" s="63" t="s">
        <v>362</v>
      </c>
      <c r="F86" s="63" t="s">
        <v>38</v>
      </c>
      <c r="G86" s="23">
        <v>69216</v>
      </c>
      <c r="H86" s="23">
        <v>0</v>
      </c>
      <c r="I86" s="23">
        <v>0</v>
      </c>
    </row>
    <row r="87" spans="1:9">
      <c r="A87" s="12" t="s">
        <v>363</v>
      </c>
      <c r="B87" s="63" t="s">
        <v>17</v>
      </c>
      <c r="C87" s="63" t="s">
        <v>72</v>
      </c>
      <c r="D87" s="63" t="s">
        <v>76</v>
      </c>
      <c r="E87" s="43" t="s">
        <v>395</v>
      </c>
      <c r="F87" s="63"/>
      <c r="G87" s="51">
        <f>G88</f>
        <v>13216</v>
      </c>
      <c r="H87" s="51">
        <f>H88</f>
        <v>0</v>
      </c>
      <c r="I87" s="51">
        <f>I88</f>
        <v>0</v>
      </c>
    </row>
    <row r="88" spans="1:9">
      <c r="A88" s="12" t="s">
        <v>37</v>
      </c>
      <c r="B88" s="63" t="s">
        <v>17</v>
      </c>
      <c r="C88" s="63" t="s">
        <v>72</v>
      </c>
      <c r="D88" s="63" t="s">
        <v>76</v>
      </c>
      <c r="E88" s="43" t="s">
        <v>395</v>
      </c>
      <c r="F88" s="63" t="s">
        <v>38</v>
      </c>
      <c r="G88" s="23">
        <v>13216</v>
      </c>
      <c r="H88" s="23">
        <v>0</v>
      </c>
      <c r="I88" s="23">
        <v>0</v>
      </c>
    </row>
    <row r="89" spans="1:9" ht="38.25">
      <c r="A89" s="12" t="s">
        <v>81</v>
      </c>
      <c r="B89" s="13" t="s">
        <v>17</v>
      </c>
      <c r="C89" s="13" t="s">
        <v>72</v>
      </c>
      <c r="D89" s="13" t="s">
        <v>82</v>
      </c>
      <c r="E89" s="13"/>
      <c r="F89" s="13"/>
      <c r="G89" s="51">
        <f>G90+G95+G98+G100+G102+G104+G106</f>
        <v>23990450.280000001</v>
      </c>
      <c r="H89" s="51">
        <f>H90+H98+H100+H102+H104</f>
        <v>12920600</v>
      </c>
      <c r="I89" s="65">
        <f>I90+I98+I100+I102+I104</f>
        <v>12921600</v>
      </c>
    </row>
    <row r="90" spans="1:9" ht="38.25">
      <c r="A90" s="12" t="s">
        <v>77</v>
      </c>
      <c r="B90" s="13" t="s">
        <v>17</v>
      </c>
      <c r="C90" s="13" t="s">
        <v>72</v>
      </c>
      <c r="D90" s="13" t="s">
        <v>82</v>
      </c>
      <c r="E90" s="13" t="s">
        <v>78</v>
      </c>
      <c r="F90" s="30"/>
      <c r="G90" s="64">
        <f>G91+G92+G93+G94</f>
        <v>7346418.4900000002</v>
      </c>
      <c r="H90" s="64">
        <f>H91+H92+H93+H94</f>
        <v>7321600</v>
      </c>
      <c r="I90" s="64">
        <f>I91+I92+I93+I94</f>
        <v>7321600</v>
      </c>
    </row>
    <row r="91" spans="1:9">
      <c r="A91" s="12" t="s">
        <v>49</v>
      </c>
      <c r="B91" s="13" t="s">
        <v>17</v>
      </c>
      <c r="C91" s="13" t="s">
        <v>72</v>
      </c>
      <c r="D91" s="13" t="s">
        <v>82</v>
      </c>
      <c r="E91" s="13" t="s">
        <v>78</v>
      </c>
      <c r="F91" s="13" t="s">
        <v>50</v>
      </c>
      <c r="G91" s="23">
        <f>4954685-500000</f>
        <v>4454685</v>
      </c>
      <c r="H91" s="25">
        <v>5232040</v>
      </c>
      <c r="I91" s="25">
        <v>5213306</v>
      </c>
    </row>
    <row r="92" spans="1:9" ht="24.75" customHeight="1">
      <c r="A92" s="33" t="s">
        <v>333</v>
      </c>
      <c r="B92" s="39" t="s">
        <v>17</v>
      </c>
      <c r="C92" s="39" t="s">
        <v>72</v>
      </c>
      <c r="D92" s="39" t="s">
        <v>82</v>
      </c>
      <c r="E92" s="39" t="s">
        <v>78</v>
      </c>
      <c r="F92" s="39" t="s">
        <v>332</v>
      </c>
      <c r="G92" s="23">
        <v>146000</v>
      </c>
      <c r="H92" s="25">
        <v>48784</v>
      </c>
      <c r="I92" s="25">
        <v>73176</v>
      </c>
    </row>
    <row r="93" spans="1:9" ht="38.25">
      <c r="A93" s="12" t="s">
        <v>51</v>
      </c>
      <c r="B93" s="13" t="s">
        <v>17</v>
      </c>
      <c r="C93" s="13" t="s">
        <v>72</v>
      </c>
      <c r="D93" s="13" t="s">
        <v>82</v>
      </c>
      <c r="E93" s="13" t="s">
        <v>78</v>
      </c>
      <c r="F93" s="13" t="s">
        <v>52</v>
      </c>
      <c r="G93" s="23">
        <v>1496315</v>
      </c>
      <c r="H93" s="23">
        <v>1580076</v>
      </c>
      <c r="I93" s="23">
        <v>1574418</v>
      </c>
    </row>
    <row r="94" spans="1:9">
      <c r="A94" s="12" t="s">
        <v>37</v>
      </c>
      <c r="B94" s="13" t="s">
        <v>17</v>
      </c>
      <c r="C94" s="13" t="s">
        <v>72</v>
      </c>
      <c r="D94" s="13" t="s">
        <v>82</v>
      </c>
      <c r="E94" s="13" t="s">
        <v>78</v>
      </c>
      <c r="F94" s="13" t="s">
        <v>38</v>
      </c>
      <c r="G94" s="24">
        <f>443000+500000+50005+6356+29600+220457.49</f>
        <v>1249418.49</v>
      </c>
      <c r="H94" s="25">
        <v>460700</v>
      </c>
      <c r="I94" s="25">
        <v>460700</v>
      </c>
    </row>
    <row r="95" spans="1:9" ht="78.75" customHeight="1">
      <c r="A95" s="34" t="s">
        <v>417</v>
      </c>
      <c r="B95" s="63" t="s">
        <v>17</v>
      </c>
      <c r="C95" s="63" t="s">
        <v>72</v>
      </c>
      <c r="D95" s="63" t="s">
        <v>82</v>
      </c>
      <c r="E95" s="63"/>
      <c r="F95" s="63"/>
      <c r="G95" s="64">
        <f>G96+G97</f>
        <v>21438.79</v>
      </c>
      <c r="H95" s="25">
        <v>0</v>
      </c>
      <c r="I95" s="25">
        <v>0</v>
      </c>
    </row>
    <row r="96" spans="1:9" ht="18" customHeight="1">
      <c r="A96" s="12" t="s">
        <v>49</v>
      </c>
      <c r="B96" s="63" t="s">
        <v>17</v>
      </c>
      <c r="C96" s="63" t="s">
        <v>72</v>
      </c>
      <c r="D96" s="63" t="s">
        <v>82</v>
      </c>
      <c r="E96" s="63" t="s">
        <v>419</v>
      </c>
      <c r="F96" s="63" t="s">
        <v>50</v>
      </c>
      <c r="G96" s="24">
        <v>16466</v>
      </c>
      <c r="H96" s="25">
        <v>0</v>
      </c>
      <c r="I96" s="25">
        <v>0</v>
      </c>
    </row>
    <row r="97" spans="1:9" ht="39" customHeight="1">
      <c r="A97" s="12" t="s">
        <v>51</v>
      </c>
      <c r="B97" s="63" t="s">
        <v>17</v>
      </c>
      <c r="C97" s="63" t="s">
        <v>72</v>
      </c>
      <c r="D97" s="63" t="s">
        <v>82</v>
      </c>
      <c r="E97" s="63" t="s">
        <v>419</v>
      </c>
      <c r="F97" s="63" t="s">
        <v>52</v>
      </c>
      <c r="G97" s="24">
        <v>4972.79</v>
      </c>
      <c r="H97" s="25">
        <v>0</v>
      </c>
      <c r="I97" s="25">
        <v>0</v>
      </c>
    </row>
    <row r="98" spans="1:9" ht="38.25">
      <c r="A98" s="12" t="s">
        <v>84</v>
      </c>
      <c r="B98" s="13" t="s">
        <v>17</v>
      </c>
      <c r="C98" s="13" t="s">
        <v>72</v>
      </c>
      <c r="D98" s="13" t="s">
        <v>82</v>
      </c>
      <c r="E98" s="38" t="s">
        <v>85</v>
      </c>
      <c r="F98" s="13"/>
      <c r="G98" s="51">
        <f>G99</f>
        <v>6873000</v>
      </c>
      <c r="H98" s="51">
        <f>H99</f>
        <v>5567100</v>
      </c>
      <c r="I98" s="51">
        <f>I99</f>
        <v>5567100</v>
      </c>
    </row>
    <row r="99" spans="1:9" ht="25.5">
      <c r="A99" s="12" t="s">
        <v>86</v>
      </c>
      <c r="B99" s="13" t="s">
        <v>17</v>
      </c>
      <c r="C99" s="13" t="s">
        <v>72</v>
      </c>
      <c r="D99" s="13" t="s">
        <v>82</v>
      </c>
      <c r="E99" s="13" t="s">
        <v>85</v>
      </c>
      <c r="F99" s="13" t="s">
        <v>87</v>
      </c>
      <c r="G99" s="23">
        <f>5353000+1520000</f>
        <v>6873000</v>
      </c>
      <c r="H99" s="23">
        <v>5567100</v>
      </c>
      <c r="I99" s="23">
        <v>5567100</v>
      </c>
    </row>
    <row r="100" spans="1:9" ht="25.5">
      <c r="A100" s="12" t="s">
        <v>88</v>
      </c>
      <c r="B100" s="13" t="s">
        <v>17</v>
      </c>
      <c r="C100" s="13" t="s">
        <v>72</v>
      </c>
      <c r="D100" s="13" t="s">
        <v>82</v>
      </c>
      <c r="E100" s="13" t="s">
        <v>89</v>
      </c>
      <c r="F100" s="13"/>
      <c r="G100" s="51">
        <f>G101</f>
        <v>24000</v>
      </c>
      <c r="H100" s="51">
        <f>H101</f>
        <v>31900</v>
      </c>
      <c r="I100" s="51">
        <f>I101</f>
        <v>32900</v>
      </c>
    </row>
    <row r="101" spans="1:9" ht="25.5">
      <c r="A101" s="12" t="s">
        <v>86</v>
      </c>
      <c r="B101" s="13" t="s">
        <v>17</v>
      </c>
      <c r="C101" s="13" t="s">
        <v>72</v>
      </c>
      <c r="D101" s="13" t="s">
        <v>82</v>
      </c>
      <c r="E101" s="13" t="s">
        <v>89</v>
      </c>
      <c r="F101" s="13" t="s">
        <v>87</v>
      </c>
      <c r="G101" s="23">
        <v>24000</v>
      </c>
      <c r="H101" s="23">
        <v>31900</v>
      </c>
      <c r="I101" s="23">
        <v>32900</v>
      </c>
    </row>
    <row r="102" spans="1:9" ht="25.5">
      <c r="A102" s="12" t="s">
        <v>90</v>
      </c>
      <c r="B102" s="13" t="s">
        <v>17</v>
      </c>
      <c r="C102" s="13" t="s">
        <v>72</v>
      </c>
      <c r="D102" s="13" t="s">
        <v>82</v>
      </c>
      <c r="E102" s="13" t="s">
        <v>91</v>
      </c>
      <c r="F102" s="13"/>
      <c r="G102" s="64">
        <f>G103</f>
        <v>271000</v>
      </c>
      <c r="H102" s="64">
        <f>H103</f>
        <v>0</v>
      </c>
      <c r="I102" s="64">
        <f>I103</f>
        <v>0</v>
      </c>
    </row>
    <row r="103" spans="1:9">
      <c r="A103" s="12" t="s">
        <v>37</v>
      </c>
      <c r="B103" s="13" t="s">
        <v>17</v>
      </c>
      <c r="C103" s="13" t="s">
        <v>72</v>
      </c>
      <c r="D103" s="13" t="s">
        <v>82</v>
      </c>
      <c r="E103" s="13" t="s">
        <v>91</v>
      </c>
      <c r="F103" s="13" t="s">
        <v>38</v>
      </c>
      <c r="G103" s="25">
        <f>231000+40000</f>
        <v>271000</v>
      </c>
      <c r="H103" s="23">
        <v>0</v>
      </c>
      <c r="I103" s="23">
        <v>0</v>
      </c>
    </row>
    <row r="104" spans="1:9" ht="25.5">
      <c r="A104" s="12" t="s">
        <v>92</v>
      </c>
      <c r="B104" s="13" t="s">
        <v>17</v>
      </c>
      <c r="C104" s="13" t="s">
        <v>72</v>
      </c>
      <c r="D104" s="13" t="s">
        <v>82</v>
      </c>
      <c r="E104" s="13" t="s">
        <v>93</v>
      </c>
      <c r="F104" s="13"/>
      <c r="G104" s="64">
        <f>G105</f>
        <v>184593</v>
      </c>
      <c r="H104" s="64">
        <f>H105</f>
        <v>0</v>
      </c>
      <c r="I104" s="64">
        <f>I105</f>
        <v>0</v>
      </c>
    </row>
    <row r="105" spans="1:9">
      <c r="A105" s="12" t="s">
        <v>37</v>
      </c>
      <c r="B105" s="13" t="s">
        <v>17</v>
      </c>
      <c r="C105" s="13" t="s">
        <v>72</v>
      </c>
      <c r="D105" s="13" t="s">
        <v>82</v>
      </c>
      <c r="E105" s="13" t="s">
        <v>93</v>
      </c>
      <c r="F105" s="13" t="s">
        <v>38</v>
      </c>
      <c r="G105" s="25">
        <f>127000-127000+127000+57593</f>
        <v>184593</v>
      </c>
      <c r="H105" s="23">
        <v>0</v>
      </c>
      <c r="I105" s="23">
        <v>0</v>
      </c>
    </row>
    <row r="106" spans="1:9" ht="25.5">
      <c r="A106" s="80" t="s">
        <v>402</v>
      </c>
      <c r="B106" s="63" t="s">
        <v>17</v>
      </c>
      <c r="C106" s="63" t="s">
        <v>72</v>
      </c>
      <c r="D106" s="63" t="s">
        <v>82</v>
      </c>
      <c r="E106" s="63" t="s">
        <v>403</v>
      </c>
      <c r="F106" s="63"/>
      <c r="G106" s="64">
        <f>G107+G108</f>
        <v>9270000</v>
      </c>
      <c r="H106" s="64">
        <f>H108</f>
        <v>0</v>
      </c>
      <c r="I106" s="64">
        <f>I108</f>
        <v>0</v>
      </c>
    </row>
    <row r="107" spans="1:9" ht="25.5">
      <c r="A107" s="80" t="s">
        <v>405</v>
      </c>
      <c r="B107" s="63" t="s">
        <v>17</v>
      </c>
      <c r="C107" s="63" t="s">
        <v>72</v>
      </c>
      <c r="D107" s="63" t="s">
        <v>82</v>
      </c>
      <c r="E107" s="63" t="s">
        <v>403</v>
      </c>
      <c r="F107" s="63" t="s">
        <v>38</v>
      </c>
      <c r="G107" s="25">
        <v>3000000</v>
      </c>
      <c r="H107" s="25">
        <v>0</v>
      </c>
      <c r="I107" s="25">
        <v>0</v>
      </c>
    </row>
    <row r="108" spans="1:9" ht="25.5">
      <c r="A108" s="12" t="s">
        <v>404</v>
      </c>
      <c r="B108" s="63" t="s">
        <v>17</v>
      </c>
      <c r="C108" s="63" t="s">
        <v>72</v>
      </c>
      <c r="D108" s="63" t="s">
        <v>82</v>
      </c>
      <c r="E108" s="63" t="s">
        <v>403</v>
      </c>
      <c r="F108" s="63" t="s">
        <v>247</v>
      </c>
      <c r="G108" s="24">
        <f>4510000+990000+100000+1000000-440000+110000</f>
        <v>6270000</v>
      </c>
      <c r="H108" s="25">
        <v>0</v>
      </c>
      <c r="I108" s="25">
        <v>0</v>
      </c>
    </row>
    <row r="109" spans="1:9">
      <c r="A109" s="12" t="s">
        <v>94</v>
      </c>
      <c r="B109" s="13" t="s">
        <v>17</v>
      </c>
      <c r="C109" s="13" t="s">
        <v>28</v>
      </c>
      <c r="D109" s="13" t="s">
        <v>34</v>
      </c>
      <c r="E109" s="13"/>
      <c r="F109" s="13"/>
      <c r="G109" s="51">
        <f>G110+G112+G114</f>
        <v>130300</v>
      </c>
      <c r="H109" s="51">
        <f>H110+H112+H114</f>
        <v>139400</v>
      </c>
      <c r="I109" s="65">
        <f>I110+I112+I114</f>
        <v>137400</v>
      </c>
    </row>
    <row r="110" spans="1:9" ht="25.5">
      <c r="A110" s="12" t="s">
        <v>95</v>
      </c>
      <c r="B110" s="13" t="s">
        <v>17</v>
      </c>
      <c r="C110" s="13" t="s">
        <v>28</v>
      </c>
      <c r="D110" s="13" t="s">
        <v>34</v>
      </c>
      <c r="E110" s="13" t="s">
        <v>96</v>
      </c>
      <c r="F110" s="13"/>
      <c r="G110" s="51">
        <f>G111</f>
        <v>8000</v>
      </c>
      <c r="H110" s="51">
        <f>H111</f>
        <v>10200</v>
      </c>
      <c r="I110" s="51">
        <f>I111</f>
        <v>10500</v>
      </c>
    </row>
    <row r="111" spans="1:9">
      <c r="A111" s="12" t="s">
        <v>37</v>
      </c>
      <c r="B111" s="13" t="s">
        <v>17</v>
      </c>
      <c r="C111" s="13" t="s">
        <v>28</v>
      </c>
      <c r="D111" s="13" t="s">
        <v>34</v>
      </c>
      <c r="E111" s="13" t="s">
        <v>96</v>
      </c>
      <c r="F111" s="13" t="s">
        <v>38</v>
      </c>
      <c r="G111" s="23">
        <f>8000</f>
        <v>8000</v>
      </c>
      <c r="H111" s="23">
        <v>10200</v>
      </c>
      <c r="I111" s="23">
        <v>10500</v>
      </c>
    </row>
    <row r="112" spans="1:9" ht="38.25">
      <c r="A112" s="12" t="s">
        <v>97</v>
      </c>
      <c r="B112" s="13" t="s">
        <v>17</v>
      </c>
      <c r="C112" s="13" t="s">
        <v>28</v>
      </c>
      <c r="D112" s="13" t="s">
        <v>34</v>
      </c>
      <c r="E112" s="13" t="s">
        <v>98</v>
      </c>
      <c r="F112" s="13"/>
      <c r="G112" s="51">
        <f>G113</f>
        <v>115800</v>
      </c>
      <c r="H112" s="51">
        <f>H113</f>
        <v>122700</v>
      </c>
      <c r="I112" s="51">
        <f>I113</f>
        <v>120400</v>
      </c>
    </row>
    <row r="113" spans="1:9">
      <c r="A113" s="12" t="s">
        <v>37</v>
      </c>
      <c r="B113" s="13" t="s">
        <v>17</v>
      </c>
      <c r="C113" s="13" t="s">
        <v>28</v>
      </c>
      <c r="D113" s="13" t="s">
        <v>34</v>
      </c>
      <c r="E113" s="13" t="s">
        <v>98</v>
      </c>
      <c r="F113" s="13" t="s">
        <v>38</v>
      </c>
      <c r="G113" s="23">
        <v>115800</v>
      </c>
      <c r="H113" s="23">
        <v>122700</v>
      </c>
      <c r="I113" s="23">
        <v>120400</v>
      </c>
    </row>
    <row r="114" spans="1:9" ht="38.25">
      <c r="A114" s="34" t="s">
        <v>323</v>
      </c>
      <c r="B114" s="22" t="s">
        <v>17</v>
      </c>
      <c r="C114" s="22" t="s">
        <v>28</v>
      </c>
      <c r="D114" s="22" t="s">
        <v>34</v>
      </c>
      <c r="E114" s="38" t="s">
        <v>328</v>
      </c>
      <c r="F114" s="22"/>
      <c r="G114" s="51">
        <f>G115</f>
        <v>6500</v>
      </c>
      <c r="H114" s="51">
        <f>H115</f>
        <v>6500</v>
      </c>
      <c r="I114" s="51">
        <f>I115</f>
        <v>6500</v>
      </c>
    </row>
    <row r="115" spans="1:9">
      <c r="A115" s="12" t="s">
        <v>37</v>
      </c>
      <c r="B115" s="22" t="s">
        <v>17</v>
      </c>
      <c r="C115" s="22" t="s">
        <v>28</v>
      </c>
      <c r="D115" s="22" t="s">
        <v>34</v>
      </c>
      <c r="E115" s="38" t="s">
        <v>328</v>
      </c>
      <c r="F115" s="22" t="s">
        <v>38</v>
      </c>
      <c r="G115" s="23">
        <v>6500</v>
      </c>
      <c r="H115" s="23">
        <v>6500</v>
      </c>
      <c r="I115" s="23">
        <v>6500</v>
      </c>
    </row>
    <row r="116" spans="1:9">
      <c r="A116" s="12" t="s">
        <v>99</v>
      </c>
      <c r="B116" s="13" t="s">
        <v>17</v>
      </c>
      <c r="C116" s="13" t="s">
        <v>28</v>
      </c>
      <c r="D116" s="13" t="s">
        <v>100</v>
      </c>
      <c r="E116" s="13"/>
      <c r="F116" s="13"/>
      <c r="G116" s="51">
        <f>G117</f>
        <v>30000</v>
      </c>
      <c r="H116" s="51">
        <f>H117</f>
        <v>0</v>
      </c>
      <c r="I116" s="65">
        <f>I117</f>
        <v>0</v>
      </c>
    </row>
    <row r="117" spans="1:9">
      <c r="A117" s="12" t="s">
        <v>101</v>
      </c>
      <c r="B117" s="13" t="s">
        <v>17</v>
      </c>
      <c r="C117" s="13" t="s">
        <v>28</v>
      </c>
      <c r="D117" s="13" t="s">
        <v>100</v>
      </c>
      <c r="E117" s="13" t="s">
        <v>102</v>
      </c>
      <c r="F117" s="13"/>
      <c r="G117" s="23">
        <f>G118</f>
        <v>30000</v>
      </c>
      <c r="H117" s="23">
        <v>0</v>
      </c>
      <c r="I117" s="23">
        <v>0</v>
      </c>
    </row>
    <row r="118" spans="1:9">
      <c r="A118" s="12" t="s">
        <v>37</v>
      </c>
      <c r="B118" s="13" t="s">
        <v>17</v>
      </c>
      <c r="C118" s="13" t="s">
        <v>28</v>
      </c>
      <c r="D118" s="13" t="s">
        <v>100</v>
      </c>
      <c r="E118" s="13" t="s">
        <v>102</v>
      </c>
      <c r="F118" s="13" t="s">
        <v>38</v>
      </c>
      <c r="G118" s="23">
        <f>30000-30000+30000</f>
        <v>30000</v>
      </c>
      <c r="H118" s="23">
        <v>0</v>
      </c>
      <c r="I118" s="23">
        <v>0</v>
      </c>
    </row>
    <row r="119" spans="1:9">
      <c r="A119" s="12" t="s">
        <v>103</v>
      </c>
      <c r="B119" s="13" t="s">
        <v>17</v>
      </c>
      <c r="C119" s="13" t="s">
        <v>28</v>
      </c>
      <c r="D119" s="13" t="s">
        <v>104</v>
      </c>
      <c r="E119" s="13"/>
      <c r="F119" s="13"/>
      <c r="G119" s="51">
        <f>G120+G122</f>
        <v>9835989.8300000001</v>
      </c>
      <c r="H119" s="51">
        <f>H120</f>
        <v>0</v>
      </c>
      <c r="I119" s="65">
        <f>I120</f>
        <v>0</v>
      </c>
    </row>
    <row r="120" spans="1:9" ht="38.25">
      <c r="A120" s="12" t="s">
        <v>105</v>
      </c>
      <c r="B120" s="13" t="s">
        <v>17</v>
      </c>
      <c r="C120" s="13" t="s">
        <v>28</v>
      </c>
      <c r="D120" s="13" t="s">
        <v>104</v>
      </c>
      <c r="E120" s="13" t="s">
        <v>106</v>
      </c>
      <c r="F120" s="13"/>
      <c r="G120" s="23">
        <f>G121</f>
        <v>6405000</v>
      </c>
      <c r="H120" s="23">
        <v>0</v>
      </c>
      <c r="I120" s="23">
        <v>0</v>
      </c>
    </row>
    <row r="121" spans="1:9" ht="51">
      <c r="A121" s="12" t="s">
        <v>107</v>
      </c>
      <c r="B121" s="13" t="s">
        <v>17</v>
      </c>
      <c r="C121" s="13" t="s">
        <v>28</v>
      </c>
      <c r="D121" s="13" t="s">
        <v>104</v>
      </c>
      <c r="E121" s="13" t="s">
        <v>106</v>
      </c>
      <c r="F121" s="13" t="s">
        <v>108</v>
      </c>
      <c r="G121" s="23">
        <f>4647660+757340+800000+200000</f>
        <v>6405000</v>
      </c>
      <c r="H121" s="23">
        <v>0</v>
      </c>
      <c r="I121" s="23">
        <v>0</v>
      </c>
    </row>
    <row r="122" spans="1:9" ht="63.75">
      <c r="A122" s="12" t="s">
        <v>384</v>
      </c>
      <c r="B122" s="63" t="s">
        <v>17</v>
      </c>
      <c r="C122" s="63" t="s">
        <v>28</v>
      </c>
      <c r="D122" s="63" t="s">
        <v>104</v>
      </c>
      <c r="E122" s="63" t="s">
        <v>385</v>
      </c>
      <c r="F122" s="63"/>
      <c r="G122" s="23">
        <f>4600000-1169010.17</f>
        <v>3430989.83</v>
      </c>
      <c r="H122" s="23">
        <v>0</v>
      </c>
      <c r="I122" s="23">
        <v>0</v>
      </c>
    </row>
    <row r="123" spans="1:9">
      <c r="A123" s="12" t="s">
        <v>37</v>
      </c>
      <c r="B123" s="63" t="s">
        <v>17</v>
      </c>
      <c r="C123" s="63" t="s">
        <v>28</v>
      </c>
      <c r="D123" s="63" t="s">
        <v>104</v>
      </c>
      <c r="E123" s="63" t="s">
        <v>385</v>
      </c>
      <c r="F123" s="63" t="s">
        <v>38</v>
      </c>
      <c r="G123" s="23">
        <f>4600000-1169010.17</f>
        <v>3430989.83</v>
      </c>
      <c r="H123" s="23">
        <v>0</v>
      </c>
      <c r="I123" s="23">
        <v>0</v>
      </c>
    </row>
    <row r="124" spans="1:9">
      <c r="A124" s="12" t="s">
        <v>109</v>
      </c>
      <c r="B124" s="13" t="s">
        <v>17</v>
      </c>
      <c r="C124" s="13" t="s">
        <v>28</v>
      </c>
      <c r="D124" s="13" t="s">
        <v>76</v>
      </c>
      <c r="E124" s="13"/>
      <c r="F124" s="13"/>
      <c r="G124" s="51">
        <f>G125+G127+G129+G131+G133+G135+G137</f>
        <v>55462774.200000003</v>
      </c>
      <c r="H124" s="51">
        <f>H125+H127+H129+H131+H133</f>
        <v>19760775.100000001</v>
      </c>
      <c r="I124" s="65">
        <f>I125+I127+I129+I131+I133</f>
        <v>22854911.100000001</v>
      </c>
    </row>
    <row r="125" spans="1:9" ht="38.25">
      <c r="A125" s="12" t="s">
        <v>110</v>
      </c>
      <c r="B125" s="13" t="s">
        <v>17</v>
      </c>
      <c r="C125" s="13" t="s">
        <v>28</v>
      </c>
      <c r="D125" s="13" t="s">
        <v>76</v>
      </c>
      <c r="E125" s="13" t="s">
        <v>111</v>
      </c>
      <c r="F125" s="13"/>
      <c r="G125" s="51">
        <f>G126</f>
        <v>13175190</v>
      </c>
      <c r="H125" s="51">
        <f>H126</f>
        <v>11845175.1</v>
      </c>
      <c r="I125" s="51">
        <f>I126</f>
        <v>11250750</v>
      </c>
    </row>
    <row r="126" spans="1:9">
      <c r="A126" s="12" t="s">
        <v>37</v>
      </c>
      <c r="B126" s="13" t="s">
        <v>17</v>
      </c>
      <c r="C126" s="13" t="s">
        <v>28</v>
      </c>
      <c r="D126" s="13" t="s">
        <v>76</v>
      </c>
      <c r="E126" s="13" t="s">
        <v>111</v>
      </c>
      <c r="F126" s="13" t="s">
        <v>38</v>
      </c>
      <c r="G126" s="25">
        <f>12894000+281190</f>
        <v>13175190</v>
      </c>
      <c r="H126" s="23">
        <v>11845175.1</v>
      </c>
      <c r="I126" s="23">
        <v>11250750</v>
      </c>
    </row>
    <row r="127" spans="1:9">
      <c r="A127" s="12" t="s">
        <v>393</v>
      </c>
      <c r="B127" s="13" t="s">
        <v>17</v>
      </c>
      <c r="C127" s="13" t="s">
        <v>28</v>
      </c>
      <c r="D127" s="13" t="s">
        <v>76</v>
      </c>
      <c r="E127" s="13" t="s">
        <v>112</v>
      </c>
      <c r="F127" s="13"/>
      <c r="G127" s="51">
        <f>G128</f>
        <v>50000</v>
      </c>
      <c r="H127" s="23">
        <v>0</v>
      </c>
      <c r="I127" s="23">
        <v>0</v>
      </c>
    </row>
    <row r="128" spans="1:9">
      <c r="A128" s="12" t="s">
        <v>37</v>
      </c>
      <c r="B128" s="13" t="s">
        <v>17</v>
      </c>
      <c r="C128" s="13" t="s">
        <v>28</v>
      </c>
      <c r="D128" s="13" t="s">
        <v>76</v>
      </c>
      <c r="E128" s="13" t="s">
        <v>112</v>
      </c>
      <c r="F128" s="13" t="s">
        <v>38</v>
      </c>
      <c r="G128" s="23">
        <v>50000</v>
      </c>
      <c r="H128" s="23">
        <v>0</v>
      </c>
      <c r="I128" s="23">
        <v>0</v>
      </c>
    </row>
    <row r="129" spans="1:11" ht="38.25">
      <c r="A129" s="12" t="s">
        <v>113</v>
      </c>
      <c r="B129" s="13" t="s">
        <v>17</v>
      </c>
      <c r="C129" s="46" t="s">
        <v>28</v>
      </c>
      <c r="D129" s="13" t="s">
        <v>76</v>
      </c>
      <c r="E129" s="13" t="s">
        <v>114</v>
      </c>
      <c r="F129" s="13"/>
      <c r="G129" s="51">
        <f>G130</f>
        <v>400000</v>
      </c>
      <c r="H129" s="51">
        <f>H130</f>
        <v>400000</v>
      </c>
      <c r="I129" s="23">
        <v>0</v>
      </c>
    </row>
    <row r="130" spans="1:11">
      <c r="A130" s="12" t="s">
        <v>37</v>
      </c>
      <c r="B130" s="13" t="s">
        <v>17</v>
      </c>
      <c r="C130" s="13" t="s">
        <v>28</v>
      </c>
      <c r="D130" s="13" t="s">
        <v>76</v>
      </c>
      <c r="E130" s="13" t="s">
        <v>114</v>
      </c>
      <c r="F130" s="13" t="s">
        <v>38</v>
      </c>
      <c r="G130" s="23">
        <v>400000</v>
      </c>
      <c r="H130" s="23">
        <v>400000</v>
      </c>
      <c r="I130" s="23">
        <v>0</v>
      </c>
    </row>
    <row r="131" spans="1:11" ht="63.75">
      <c r="A131" s="12" t="s">
        <v>115</v>
      </c>
      <c r="B131" s="13" t="s">
        <v>17</v>
      </c>
      <c r="C131" s="13" t="s">
        <v>28</v>
      </c>
      <c r="D131" s="13" t="s">
        <v>76</v>
      </c>
      <c r="E131" s="13" t="s">
        <v>116</v>
      </c>
      <c r="F131" s="13"/>
      <c r="G131" s="64">
        <f>G132</f>
        <v>9432499.1999999993</v>
      </c>
      <c r="H131" s="64">
        <f>H132</f>
        <v>6535600</v>
      </c>
      <c r="I131" s="64">
        <f>I132</f>
        <v>10624161.1</v>
      </c>
    </row>
    <row r="132" spans="1:11">
      <c r="A132" s="12" t="s">
        <v>37</v>
      </c>
      <c r="B132" s="13" t="s">
        <v>17</v>
      </c>
      <c r="C132" s="13" t="s">
        <v>28</v>
      </c>
      <c r="D132" s="13" t="s">
        <v>76</v>
      </c>
      <c r="E132" s="13" t="s">
        <v>116</v>
      </c>
      <c r="F132" s="13" t="s">
        <v>38</v>
      </c>
      <c r="G132" s="23">
        <f>5251774.2-350085-1209190+828000+100000+4812000</f>
        <v>9432499.1999999993</v>
      </c>
      <c r="H132" s="23">
        <v>6535600</v>
      </c>
      <c r="I132" s="23">
        <v>10624161.1</v>
      </c>
    </row>
    <row r="133" spans="1:11" ht="25.5">
      <c r="A133" s="12" t="s">
        <v>343</v>
      </c>
      <c r="B133" s="63" t="s">
        <v>17</v>
      </c>
      <c r="C133" s="63" t="s">
        <v>28</v>
      </c>
      <c r="D133" s="63" t="s">
        <v>76</v>
      </c>
      <c r="E133" s="63" t="s">
        <v>342</v>
      </c>
      <c r="F133" s="63"/>
      <c r="G133" s="51">
        <f>G134</f>
        <v>55000</v>
      </c>
      <c r="H133" s="51">
        <f>H134</f>
        <v>980000</v>
      </c>
      <c r="I133" s="51">
        <f>I134</f>
        <v>980000</v>
      </c>
    </row>
    <row r="134" spans="1:11">
      <c r="A134" s="12" t="s">
        <v>37</v>
      </c>
      <c r="B134" s="63" t="s">
        <v>17</v>
      </c>
      <c r="C134" s="63" t="s">
        <v>28</v>
      </c>
      <c r="D134" s="63" t="s">
        <v>76</v>
      </c>
      <c r="E134" s="63" t="s">
        <v>342</v>
      </c>
      <c r="F134" s="63" t="s">
        <v>38</v>
      </c>
      <c r="G134" s="23">
        <v>55000</v>
      </c>
      <c r="H134" s="23">
        <v>980000</v>
      </c>
      <c r="I134" s="23">
        <v>980000</v>
      </c>
    </row>
    <row r="135" spans="1:11" ht="51">
      <c r="A135" s="12" t="s">
        <v>412</v>
      </c>
      <c r="B135" s="63" t="s">
        <v>17</v>
      </c>
      <c r="C135" s="63" t="s">
        <v>28</v>
      </c>
      <c r="D135" s="63" t="s">
        <v>76</v>
      </c>
      <c r="E135" s="63" t="s">
        <v>411</v>
      </c>
      <c r="F135" s="63"/>
      <c r="G135" s="23">
        <v>32000000</v>
      </c>
      <c r="H135" s="23">
        <v>0</v>
      </c>
      <c r="I135" s="23">
        <v>0</v>
      </c>
    </row>
    <row r="136" spans="1:11">
      <c r="A136" s="12" t="s">
        <v>37</v>
      </c>
      <c r="B136" s="63" t="s">
        <v>17</v>
      </c>
      <c r="C136" s="63" t="s">
        <v>28</v>
      </c>
      <c r="D136" s="63" t="s">
        <v>76</v>
      </c>
      <c r="E136" s="63" t="s">
        <v>411</v>
      </c>
      <c r="F136" s="63" t="s">
        <v>38</v>
      </c>
      <c r="G136" s="23">
        <v>32000000</v>
      </c>
      <c r="H136" s="23">
        <v>0</v>
      </c>
      <c r="I136" s="23">
        <v>0</v>
      </c>
    </row>
    <row r="137" spans="1:11" ht="27" customHeight="1">
      <c r="A137" s="12" t="s">
        <v>400</v>
      </c>
      <c r="B137" s="63" t="s">
        <v>17</v>
      </c>
      <c r="C137" s="63" t="s">
        <v>28</v>
      </c>
      <c r="D137" s="63" t="s">
        <v>76</v>
      </c>
      <c r="E137" s="63" t="s">
        <v>401</v>
      </c>
      <c r="F137" s="63"/>
      <c r="G137" s="51">
        <f>G138</f>
        <v>350085</v>
      </c>
      <c r="H137" s="51">
        <f>H138</f>
        <v>0</v>
      </c>
      <c r="I137" s="51">
        <f>I138</f>
        <v>0</v>
      </c>
    </row>
    <row r="138" spans="1:11">
      <c r="A138" s="12" t="s">
        <v>37</v>
      </c>
      <c r="B138" s="63" t="s">
        <v>17</v>
      </c>
      <c r="C138" s="63" t="s">
        <v>28</v>
      </c>
      <c r="D138" s="63" t="s">
        <v>76</v>
      </c>
      <c r="E138" s="63" t="s">
        <v>401</v>
      </c>
      <c r="F138" s="63" t="s">
        <v>38</v>
      </c>
      <c r="G138" s="23">
        <v>350085</v>
      </c>
      <c r="H138" s="23">
        <v>0</v>
      </c>
      <c r="I138" s="23">
        <v>0</v>
      </c>
    </row>
    <row r="139" spans="1:11">
      <c r="A139" s="12" t="s">
        <v>117</v>
      </c>
      <c r="B139" s="13" t="s">
        <v>17</v>
      </c>
      <c r="C139" s="13" t="s">
        <v>28</v>
      </c>
      <c r="D139" s="13" t="s">
        <v>82</v>
      </c>
      <c r="E139" s="13"/>
      <c r="F139" s="13"/>
      <c r="G139" s="51">
        <f t="shared" ref="G139:I140" si="3">G140</f>
        <v>10000</v>
      </c>
      <c r="H139" s="51">
        <f t="shared" si="3"/>
        <v>10000</v>
      </c>
      <c r="I139" s="65">
        <f t="shared" si="3"/>
        <v>10000</v>
      </c>
    </row>
    <row r="140" spans="1:11" ht="51">
      <c r="A140" s="12" t="s">
        <v>120</v>
      </c>
      <c r="B140" s="13" t="s">
        <v>17</v>
      </c>
      <c r="C140" s="13" t="s">
        <v>28</v>
      </c>
      <c r="D140" s="13" t="s">
        <v>82</v>
      </c>
      <c r="E140" s="13" t="s">
        <v>121</v>
      </c>
      <c r="F140" s="13"/>
      <c r="G140" s="23">
        <f t="shared" si="3"/>
        <v>10000</v>
      </c>
      <c r="H140" s="23">
        <f t="shared" si="3"/>
        <v>10000</v>
      </c>
      <c r="I140" s="23">
        <f>I141</f>
        <v>10000</v>
      </c>
    </row>
    <row r="141" spans="1:11" ht="25.5">
      <c r="A141" s="12" t="s">
        <v>118</v>
      </c>
      <c r="B141" s="13" t="s">
        <v>17</v>
      </c>
      <c r="C141" s="13" t="s">
        <v>28</v>
      </c>
      <c r="D141" s="13" t="s">
        <v>82</v>
      </c>
      <c r="E141" s="13" t="s">
        <v>121</v>
      </c>
      <c r="F141" s="13" t="s">
        <v>119</v>
      </c>
      <c r="G141" s="23">
        <v>10000</v>
      </c>
      <c r="H141" s="23">
        <v>10000</v>
      </c>
      <c r="I141" s="23">
        <v>10000</v>
      </c>
    </row>
    <row r="142" spans="1:11">
      <c r="A142" s="12" t="s">
        <v>122</v>
      </c>
      <c r="B142" s="13" t="s">
        <v>17</v>
      </c>
      <c r="C142" s="13" t="s">
        <v>28</v>
      </c>
      <c r="D142" s="13" t="s">
        <v>123</v>
      </c>
      <c r="E142" s="13"/>
      <c r="F142" s="13"/>
      <c r="G142" s="64">
        <f>G143+G145+G147+G149+G151+G153+G155+G157+G159+G161+G163</f>
        <v>1834000</v>
      </c>
      <c r="H142" s="64">
        <f>H143+H145+H147+H149+H151+H155+H157+H159+H161+H163</f>
        <v>1500600</v>
      </c>
      <c r="I142" s="66">
        <f>I143+I145+I147+I149+I151+I155+I157+I159+I161+I163</f>
        <v>1117700</v>
      </c>
      <c r="K142" s="58"/>
    </row>
    <row r="143" spans="1:11" ht="25.5">
      <c r="A143" s="12" t="s">
        <v>124</v>
      </c>
      <c r="B143" s="13" t="s">
        <v>17</v>
      </c>
      <c r="C143" s="13" t="s">
        <v>28</v>
      </c>
      <c r="D143" s="13" t="s">
        <v>123</v>
      </c>
      <c r="E143" s="13" t="s">
        <v>125</v>
      </c>
      <c r="F143" s="13"/>
      <c r="G143" s="64">
        <f>G144</f>
        <v>258500</v>
      </c>
      <c r="H143" s="64">
        <f>H144</f>
        <v>320800</v>
      </c>
      <c r="I143" s="64">
        <f>I144</f>
        <v>309300</v>
      </c>
      <c r="K143" s="58"/>
    </row>
    <row r="144" spans="1:11">
      <c r="A144" s="12" t="s">
        <v>37</v>
      </c>
      <c r="B144" s="13" t="s">
        <v>17</v>
      </c>
      <c r="C144" s="13" t="s">
        <v>28</v>
      </c>
      <c r="D144" s="13" t="s">
        <v>123</v>
      </c>
      <c r="E144" s="13" t="s">
        <v>125</v>
      </c>
      <c r="F144" s="13" t="s">
        <v>38</v>
      </c>
      <c r="G144" s="25">
        <f>308500-50000</f>
        <v>258500</v>
      </c>
      <c r="H144" s="23">
        <v>320800</v>
      </c>
      <c r="I144" s="23">
        <v>309300</v>
      </c>
      <c r="K144" s="58"/>
    </row>
    <row r="145" spans="1:9" ht="38.25">
      <c r="A145" s="12" t="s">
        <v>126</v>
      </c>
      <c r="B145" s="13" t="s">
        <v>17</v>
      </c>
      <c r="C145" s="13" t="s">
        <v>28</v>
      </c>
      <c r="D145" s="13" t="s">
        <v>123</v>
      </c>
      <c r="E145" s="13" t="s">
        <v>127</v>
      </c>
      <c r="F145" s="13"/>
      <c r="G145" s="51">
        <f>G146</f>
        <v>150000</v>
      </c>
      <c r="H145" s="51">
        <f>H146</f>
        <v>124800</v>
      </c>
      <c r="I145" s="51">
        <f>I146</f>
        <v>129800</v>
      </c>
    </row>
    <row r="146" spans="1:9">
      <c r="A146" s="12" t="s">
        <v>37</v>
      </c>
      <c r="B146" s="13" t="s">
        <v>17</v>
      </c>
      <c r="C146" s="13" t="s">
        <v>28</v>
      </c>
      <c r="D146" s="13" t="s">
        <v>123</v>
      </c>
      <c r="E146" s="13" t="s">
        <v>127</v>
      </c>
      <c r="F146" s="13" t="s">
        <v>38</v>
      </c>
      <c r="G146" s="23">
        <f>120000-80434.35+110434.35</f>
        <v>150000</v>
      </c>
      <c r="H146" s="23">
        <v>124800</v>
      </c>
      <c r="I146" s="23">
        <v>129800</v>
      </c>
    </row>
    <row r="147" spans="1:9" ht="25.5">
      <c r="A147" s="12" t="s">
        <v>128</v>
      </c>
      <c r="B147" s="13" t="s">
        <v>17</v>
      </c>
      <c r="C147" s="13" t="s">
        <v>28</v>
      </c>
      <c r="D147" s="13" t="s">
        <v>123</v>
      </c>
      <c r="E147" s="13" t="s">
        <v>129</v>
      </c>
      <c r="F147" s="13"/>
      <c r="G147" s="51">
        <f>G148</f>
        <v>165000</v>
      </c>
      <c r="H147" s="51">
        <f>H148</f>
        <v>265200</v>
      </c>
      <c r="I147" s="51">
        <f>I148</f>
        <v>275800</v>
      </c>
    </row>
    <row r="148" spans="1:9">
      <c r="A148" s="12" t="s">
        <v>37</v>
      </c>
      <c r="B148" s="13" t="s">
        <v>17</v>
      </c>
      <c r="C148" s="13" t="s">
        <v>28</v>
      </c>
      <c r="D148" s="13" t="s">
        <v>123</v>
      </c>
      <c r="E148" s="13" t="s">
        <v>129</v>
      </c>
      <c r="F148" s="13" t="s">
        <v>38</v>
      </c>
      <c r="G148" s="23">
        <f>255000-90000</f>
        <v>165000</v>
      </c>
      <c r="H148" s="23">
        <v>265200</v>
      </c>
      <c r="I148" s="23">
        <v>275800</v>
      </c>
    </row>
    <row r="149" spans="1:9" ht="25.5">
      <c r="A149" s="12" t="s">
        <v>130</v>
      </c>
      <c r="B149" s="13" t="s">
        <v>17</v>
      </c>
      <c r="C149" s="13" t="s">
        <v>28</v>
      </c>
      <c r="D149" s="13" t="s">
        <v>123</v>
      </c>
      <c r="E149" s="13" t="s">
        <v>131</v>
      </c>
      <c r="F149" s="13"/>
      <c r="G149" s="51">
        <f>G150</f>
        <v>47200</v>
      </c>
      <c r="H149" s="51">
        <f>H150</f>
        <v>49000</v>
      </c>
      <c r="I149" s="51">
        <f>I150</f>
        <v>51000</v>
      </c>
    </row>
    <row r="150" spans="1:9">
      <c r="A150" s="12" t="s">
        <v>37</v>
      </c>
      <c r="B150" s="13" t="s">
        <v>17</v>
      </c>
      <c r="C150" s="13" t="s">
        <v>28</v>
      </c>
      <c r="D150" s="13" t="s">
        <v>123</v>
      </c>
      <c r="E150" s="13" t="s">
        <v>131</v>
      </c>
      <c r="F150" s="13" t="s">
        <v>38</v>
      </c>
      <c r="G150" s="23">
        <v>47200</v>
      </c>
      <c r="H150" s="23">
        <v>49000</v>
      </c>
      <c r="I150" s="23">
        <v>51000</v>
      </c>
    </row>
    <row r="151" spans="1:9" ht="51">
      <c r="A151" s="12" t="s">
        <v>132</v>
      </c>
      <c r="B151" s="13" t="s">
        <v>17</v>
      </c>
      <c r="C151" s="13" t="s">
        <v>28</v>
      </c>
      <c r="D151" s="13" t="s">
        <v>123</v>
      </c>
      <c r="E151" s="13" t="s">
        <v>133</v>
      </c>
      <c r="F151" s="13"/>
      <c r="G151" s="51">
        <f>G152</f>
        <v>240000</v>
      </c>
      <c r="H151" s="51">
        <f>H152</f>
        <v>249600</v>
      </c>
      <c r="I151" s="51">
        <f>I152</f>
        <v>259600</v>
      </c>
    </row>
    <row r="152" spans="1:9">
      <c r="A152" s="12" t="s">
        <v>37</v>
      </c>
      <c r="B152" s="13" t="s">
        <v>17</v>
      </c>
      <c r="C152" s="13" t="s">
        <v>28</v>
      </c>
      <c r="D152" s="13" t="s">
        <v>123</v>
      </c>
      <c r="E152" s="13" t="s">
        <v>133</v>
      </c>
      <c r="F152" s="13" t="s">
        <v>38</v>
      </c>
      <c r="G152" s="23">
        <v>240000</v>
      </c>
      <c r="H152" s="23">
        <v>249600</v>
      </c>
      <c r="I152" s="23">
        <v>259600</v>
      </c>
    </row>
    <row r="153" spans="1:9" ht="38.25">
      <c r="A153" s="12" t="s">
        <v>408</v>
      </c>
      <c r="B153" s="63" t="s">
        <v>17</v>
      </c>
      <c r="C153" s="63" t="s">
        <v>28</v>
      </c>
      <c r="D153" s="63" t="s">
        <v>123</v>
      </c>
      <c r="E153" s="63" t="s">
        <v>403</v>
      </c>
      <c r="F153" s="63"/>
      <c r="G153" s="51">
        <f>G154</f>
        <v>216000</v>
      </c>
      <c r="H153" s="51">
        <f>H154</f>
        <v>0</v>
      </c>
      <c r="I153" s="51">
        <f>I154</f>
        <v>0</v>
      </c>
    </row>
    <row r="154" spans="1:9">
      <c r="A154" s="12" t="s">
        <v>37</v>
      </c>
      <c r="B154" s="63" t="s">
        <v>17</v>
      </c>
      <c r="C154" s="63" t="s">
        <v>28</v>
      </c>
      <c r="D154" s="63" t="s">
        <v>123</v>
      </c>
      <c r="E154" s="63" t="s">
        <v>403</v>
      </c>
      <c r="F154" s="63" t="s">
        <v>38</v>
      </c>
      <c r="G154" s="23">
        <v>216000</v>
      </c>
      <c r="H154" s="23">
        <v>0</v>
      </c>
      <c r="I154" s="23">
        <v>0</v>
      </c>
    </row>
    <row r="155" spans="1:9" ht="51">
      <c r="A155" s="33" t="s">
        <v>315</v>
      </c>
      <c r="B155" s="13" t="s">
        <v>17</v>
      </c>
      <c r="C155" s="13" t="s">
        <v>28</v>
      </c>
      <c r="D155" s="13" t="s">
        <v>123</v>
      </c>
      <c r="E155" s="13" t="s">
        <v>134</v>
      </c>
      <c r="F155" s="13"/>
      <c r="G155" s="51">
        <f>G156</f>
        <v>62100</v>
      </c>
      <c r="H155" s="51">
        <f>H156</f>
        <v>62100</v>
      </c>
      <c r="I155" s="51">
        <f>I156</f>
        <v>64000</v>
      </c>
    </row>
    <row r="156" spans="1:9" ht="51">
      <c r="A156" s="12" t="s">
        <v>107</v>
      </c>
      <c r="B156" s="13" t="s">
        <v>17</v>
      </c>
      <c r="C156" s="13" t="s">
        <v>28</v>
      </c>
      <c r="D156" s="13" t="s">
        <v>123</v>
      </c>
      <c r="E156" s="13" t="s">
        <v>134</v>
      </c>
      <c r="F156" s="13" t="s">
        <v>108</v>
      </c>
      <c r="G156" s="23">
        <v>62100</v>
      </c>
      <c r="H156" s="23">
        <v>62100</v>
      </c>
      <c r="I156" s="23">
        <v>64000</v>
      </c>
    </row>
    <row r="157" spans="1:9" ht="38.25">
      <c r="A157" s="12" t="s">
        <v>135</v>
      </c>
      <c r="B157" s="13" t="s">
        <v>17</v>
      </c>
      <c r="C157" s="13" t="s">
        <v>28</v>
      </c>
      <c r="D157" s="13" t="s">
        <v>123</v>
      </c>
      <c r="E157" s="43" t="s">
        <v>360</v>
      </c>
      <c r="F157" s="13"/>
      <c r="G157" s="51">
        <f>G158</f>
        <v>273200</v>
      </c>
      <c r="H157" s="51">
        <f>H158</f>
        <v>402000</v>
      </c>
      <c r="I157" s="51">
        <f>I158</f>
        <v>0</v>
      </c>
    </row>
    <row r="158" spans="1:9">
      <c r="A158" s="12" t="s">
        <v>37</v>
      </c>
      <c r="B158" s="13" t="s">
        <v>17</v>
      </c>
      <c r="C158" s="13" t="s">
        <v>28</v>
      </c>
      <c r="D158" s="13" t="s">
        <v>123</v>
      </c>
      <c r="E158" s="43" t="s">
        <v>360</v>
      </c>
      <c r="F158" s="13" t="s">
        <v>38</v>
      </c>
      <c r="G158" s="23">
        <f>350000-76800</f>
        <v>273200</v>
      </c>
      <c r="H158" s="23">
        <v>402000</v>
      </c>
      <c r="I158" s="23">
        <v>0</v>
      </c>
    </row>
    <row r="159" spans="1:9" ht="25.5">
      <c r="A159" s="12" t="s">
        <v>136</v>
      </c>
      <c r="B159" s="13" t="s">
        <v>17</v>
      </c>
      <c r="C159" s="13" t="s">
        <v>28</v>
      </c>
      <c r="D159" s="13" t="s">
        <v>123</v>
      </c>
      <c r="E159" s="13" t="s">
        <v>137</v>
      </c>
      <c r="F159" s="13"/>
      <c r="G159" s="51">
        <f>G160</f>
        <v>0</v>
      </c>
      <c r="H159" s="51">
        <f>H160</f>
        <v>25000</v>
      </c>
      <c r="I159" s="51">
        <f>I160</f>
        <v>26000</v>
      </c>
    </row>
    <row r="160" spans="1:9">
      <c r="A160" s="12" t="s">
        <v>37</v>
      </c>
      <c r="B160" s="13" t="s">
        <v>17</v>
      </c>
      <c r="C160" s="13" t="s">
        <v>28</v>
      </c>
      <c r="D160" s="13" t="s">
        <v>123</v>
      </c>
      <c r="E160" s="13" t="s">
        <v>137</v>
      </c>
      <c r="F160" s="13" t="s">
        <v>38</v>
      </c>
      <c r="G160" s="23">
        <f>24000-24000</f>
        <v>0</v>
      </c>
      <c r="H160" s="23">
        <v>25000</v>
      </c>
      <c r="I160" s="23">
        <v>26000</v>
      </c>
    </row>
    <row r="161" spans="1:11" ht="102">
      <c r="A161" s="12" t="s">
        <v>138</v>
      </c>
      <c r="B161" s="13" t="s">
        <v>17</v>
      </c>
      <c r="C161" s="13" t="s">
        <v>28</v>
      </c>
      <c r="D161" s="13" t="s">
        <v>123</v>
      </c>
      <c r="E161" s="13" t="s">
        <v>139</v>
      </c>
      <c r="F161" s="13"/>
      <c r="G161" s="51">
        <f>G162</f>
        <v>420000</v>
      </c>
      <c r="H161" s="23">
        <v>0</v>
      </c>
      <c r="I161" s="23">
        <v>0</v>
      </c>
    </row>
    <row r="162" spans="1:11">
      <c r="A162" s="12" t="s">
        <v>37</v>
      </c>
      <c r="B162" s="13" t="s">
        <v>17</v>
      </c>
      <c r="C162" s="13" t="s">
        <v>28</v>
      </c>
      <c r="D162" s="13" t="s">
        <v>123</v>
      </c>
      <c r="E162" s="13" t="s">
        <v>139</v>
      </c>
      <c r="F162" s="13" t="s">
        <v>38</v>
      </c>
      <c r="G162" s="23">
        <f>300000+120000</f>
        <v>420000</v>
      </c>
      <c r="H162" s="23">
        <v>0</v>
      </c>
      <c r="I162" s="23">
        <v>0</v>
      </c>
    </row>
    <row r="163" spans="1:11" ht="51">
      <c r="A163" s="12" t="s">
        <v>140</v>
      </c>
      <c r="B163" s="13" t="s">
        <v>17</v>
      </c>
      <c r="C163" s="13" t="s">
        <v>28</v>
      </c>
      <c r="D163" s="13" t="s">
        <v>123</v>
      </c>
      <c r="E163" s="13" t="s">
        <v>141</v>
      </c>
      <c r="F163" s="13"/>
      <c r="G163" s="51">
        <f>G164</f>
        <v>2000</v>
      </c>
      <c r="H163" s="51">
        <f>H164</f>
        <v>2100</v>
      </c>
      <c r="I163" s="51">
        <f>I164</f>
        <v>2200</v>
      </c>
      <c r="K163" s="1" t="s">
        <v>309</v>
      </c>
    </row>
    <row r="164" spans="1:11">
      <c r="A164" s="12" t="s">
        <v>37</v>
      </c>
      <c r="B164" s="13" t="s">
        <v>17</v>
      </c>
      <c r="C164" s="13" t="s">
        <v>28</v>
      </c>
      <c r="D164" s="13" t="s">
        <v>123</v>
      </c>
      <c r="E164" s="13" t="s">
        <v>141</v>
      </c>
      <c r="F164" s="13" t="s">
        <v>38</v>
      </c>
      <c r="G164" s="23">
        <v>2000</v>
      </c>
      <c r="H164" s="23">
        <v>2100</v>
      </c>
      <c r="I164" s="23">
        <v>2200</v>
      </c>
    </row>
    <row r="165" spans="1:11">
      <c r="A165" s="12" t="s">
        <v>142</v>
      </c>
      <c r="B165" s="13" t="s">
        <v>17</v>
      </c>
      <c r="C165" s="13" t="s">
        <v>34</v>
      </c>
      <c r="D165" s="13" t="s">
        <v>19</v>
      </c>
      <c r="E165" s="13"/>
      <c r="F165" s="13"/>
      <c r="G165" s="51">
        <f>G166+G168+G170+G172+G173+G175+G177+G179</f>
        <v>149037960</v>
      </c>
      <c r="H165" s="51">
        <f>H166+H173+H175+H177+H179</f>
        <v>1700900</v>
      </c>
      <c r="I165" s="65">
        <f>I166+I173+I175+I177+I179</f>
        <v>912000</v>
      </c>
    </row>
    <row r="166" spans="1:11" ht="38.25">
      <c r="A166" s="12" t="s">
        <v>143</v>
      </c>
      <c r="B166" s="13" t="s">
        <v>17</v>
      </c>
      <c r="C166" s="13" t="s">
        <v>34</v>
      </c>
      <c r="D166" s="13" t="s">
        <v>19</v>
      </c>
      <c r="E166" s="13" t="s">
        <v>144</v>
      </c>
      <c r="F166" s="13"/>
      <c r="G166" s="51">
        <f>G167</f>
        <v>420000</v>
      </c>
      <c r="H166" s="51">
        <f>H167</f>
        <v>420000</v>
      </c>
      <c r="I166" s="51">
        <f>I167</f>
        <v>0</v>
      </c>
    </row>
    <row r="167" spans="1:11">
      <c r="A167" s="12" t="s">
        <v>37</v>
      </c>
      <c r="B167" s="13" t="s">
        <v>17</v>
      </c>
      <c r="C167" s="13" t="s">
        <v>34</v>
      </c>
      <c r="D167" s="13" t="s">
        <v>19</v>
      </c>
      <c r="E167" s="13" t="s">
        <v>144</v>
      </c>
      <c r="F167" s="13" t="s">
        <v>38</v>
      </c>
      <c r="G167" s="23">
        <f>839081-419081</f>
        <v>420000</v>
      </c>
      <c r="H167" s="23">
        <v>420000</v>
      </c>
      <c r="I167" s="23">
        <v>0</v>
      </c>
    </row>
    <row r="168" spans="1:11" ht="25.5">
      <c r="A168" s="12" t="s">
        <v>407</v>
      </c>
      <c r="B168" s="63" t="s">
        <v>17</v>
      </c>
      <c r="C168" s="63" t="s">
        <v>34</v>
      </c>
      <c r="D168" s="63" t="s">
        <v>19</v>
      </c>
      <c r="E168" s="63" t="s">
        <v>403</v>
      </c>
      <c r="F168" s="63"/>
      <c r="G168" s="51">
        <f>G169</f>
        <v>147488530</v>
      </c>
      <c r="H168" s="51">
        <f>H169</f>
        <v>0</v>
      </c>
      <c r="I168" s="51">
        <f>I169</f>
        <v>0</v>
      </c>
    </row>
    <row r="169" spans="1:11">
      <c r="A169" s="12" t="s">
        <v>37</v>
      </c>
      <c r="B169" s="63" t="s">
        <v>17</v>
      </c>
      <c r="C169" s="63" t="s">
        <v>34</v>
      </c>
      <c r="D169" s="63" t="s">
        <v>19</v>
      </c>
      <c r="E169" s="63" t="s">
        <v>403</v>
      </c>
      <c r="F169" s="74" t="s">
        <v>446</v>
      </c>
      <c r="G169" s="20">
        <f>127680760+19807770</f>
        <v>147488530</v>
      </c>
      <c r="H169" s="23">
        <v>0</v>
      </c>
      <c r="I169" s="23">
        <v>0</v>
      </c>
    </row>
    <row r="170" spans="1:11" ht="51">
      <c r="A170" s="12" t="s">
        <v>409</v>
      </c>
      <c r="B170" s="63" t="s">
        <v>17</v>
      </c>
      <c r="C170" s="63" t="s">
        <v>34</v>
      </c>
      <c r="D170" s="63" t="s">
        <v>19</v>
      </c>
      <c r="E170" s="63" t="s">
        <v>406</v>
      </c>
      <c r="F170" s="63"/>
      <c r="G170" s="51">
        <f>G171</f>
        <v>0</v>
      </c>
      <c r="H170" s="23">
        <v>0</v>
      </c>
      <c r="I170" s="23">
        <v>0</v>
      </c>
    </row>
    <row r="171" spans="1:11">
      <c r="A171" s="12" t="s">
        <v>37</v>
      </c>
      <c r="B171" s="63" t="s">
        <v>17</v>
      </c>
      <c r="C171" s="63" t="s">
        <v>34</v>
      </c>
      <c r="D171" s="63" t="s">
        <v>19</v>
      </c>
      <c r="E171" s="63" t="s">
        <v>406</v>
      </c>
      <c r="F171" s="63" t="s">
        <v>38</v>
      </c>
      <c r="G171" s="23">
        <f>400000-400000</f>
        <v>0</v>
      </c>
      <c r="H171" s="23">
        <v>0</v>
      </c>
      <c r="I171" s="23">
        <v>0</v>
      </c>
    </row>
    <row r="172" spans="1:11" ht="26.25">
      <c r="A172" s="83" t="s">
        <v>443</v>
      </c>
      <c r="B172" s="63" t="s">
        <v>17</v>
      </c>
      <c r="C172" s="63" t="s">
        <v>34</v>
      </c>
      <c r="D172" s="63" t="s">
        <v>19</v>
      </c>
      <c r="E172" s="63" t="s">
        <v>444</v>
      </c>
      <c r="F172" s="63" t="s">
        <v>38</v>
      </c>
      <c r="G172" s="23">
        <f>70000+60000+70000</f>
        <v>200000</v>
      </c>
      <c r="H172" s="23">
        <v>0</v>
      </c>
      <c r="I172" s="23">
        <v>0</v>
      </c>
    </row>
    <row r="173" spans="1:11" ht="25.5">
      <c r="A173" s="12" t="s">
        <v>145</v>
      </c>
      <c r="B173" s="13" t="s">
        <v>17</v>
      </c>
      <c r="C173" s="13" t="s">
        <v>34</v>
      </c>
      <c r="D173" s="13" t="s">
        <v>19</v>
      </c>
      <c r="E173" s="13" t="s">
        <v>146</v>
      </c>
      <c r="F173" s="13"/>
      <c r="G173" s="51">
        <f>G174</f>
        <v>62730</v>
      </c>
      <c r="H173" s="51">
        <f>H174</f>
        <v>0</v>
      </c>
      <c r="I173" s="51">
        <f>I174</f>
        <v>0</v>
      </c>
    </row>
    <row r="174" spans="1:11">
      <c r="A174" s="12" t="s">
        <v>37</v>
      </c>
      <c r="B174" s="13" t="s">
        <v>17</v>
      </c>
      <c r="C174" s="13" t="s">
        <v>34</v>
      </c>
      <c r="D174" s="13" t="s">
        <v>19</v>
      </c>
      <c r="E174" s="13" t="s">
        <v>146</v>
      </c>
      <c r="F174" s="13" t="s">
        <v>38</v>
      </c>
      <c r="G174" s="23">
        <f>429000-200000+70000+60000+70000-129000-37270-70000-60000-70000</f>
        <v>62730</v>
      </c>
      <c r="H174" s="23">
        <v>0</v>
      </c>
      <c r="I174" s="23">
        <v>0</v>
      </c>
    </row>
    <row r="175" spans="1:11" ht="26.25" customHeight="1">
      <c r="A175" s="33" t="s">
        <v>316</v>
      </c>
      <c r="B175" s="30" t="s">
        <v>17</v>
      </c>
      <c r="C175" s="30" t="s">
        <v>34</v>
      </c>
      <c r="D175" s="30" t="s">
        <v>19</v>
      </c>
      <c r="E175" s="30" t="s">
        <v>317</v>
      </c>
      <c r="F175" s="31"/>
      <c r="G175" s="51">
        <f>G176</f>
        <v>0</v>
      </c>
      <c r="H175" s="23">
        <v>404000</v>
      </c>
      <c r="I175" s="23">
        <v>0</v>
      </c>
    </row>
    <row r="176" spans="1:11">
      <c r="A176" s="12" t="s">
        <v>37</v>
      </c>
      <c r="B176" s="30" t="s">
        <v>17</v>
      </c>
      <c r="C176" s="30" t="s">
        <v>34</v>
      </c>
      <c r="D176" s="30" t="s">
        <v>19</v>
      </c>
      <c r="E176" s="78" t="s">
        <v>317</v>
      </c>
      <c r="F176" s="44" t="s">
        <v>54</v>
      </c>
      <c r="G176" s="25">
        <f>300000-12600-287400</f>
        <v>0</v>
      </c>
      <c r="H176" s="23">
        <v>404000</v>
      </c>
      <c r="I176" s="23">
        <v>0</v>
      </c>
      <c r="K176" s="1">
        <v>503</v>
      </c>
    </row>
    <row r="177" spans="1:9" ht="38.25">
      <c r="A177" s="12" t="s">
        <v>147</v>
      </c>
      <c r="B177" s="13" t="s">
        <v>17</v>
      </c>
      <c r="C177" s="13" t="s">
        <v>34</v>
      </c>
      <c r="D177" s="13" t="s">
        <v>19</v>
      </c>
      <c r="E177" s="13" t="s">
        <v>148</v>
      </c>
      <c r="F177" s="13"/>
      <c r="G177" s="51">
        <f>G178</f>
        <v>500000</v>
      </c>
      <c r="H177" s="51">
        <f>H178</f>
        <v>0</v>
      </c>
      <c r="I177" s="51">
        <f>I178</f>
        <v>0</v>
      </c>
    </row>
    <row r="178" spans="1:9">
      <c r="A178" s="12" t="s">
        <v>37</v>
      </c>
      <c r="B178" s="13" t="s">
        <v>17</v>
      </c>
      <c r="C178" s="13" t="s">
        <v>34</v>
      </c>
      <c r="D178" s="13" t="s">
        <v>19</v>
      </c>
      <c r="E178" s="13" t="s">
        <v>148</v>
      </c>
      <c r="F178" s="13" t="s">
        <v>38</v>
      </c>
      <c r="G178" s="23">
        <f>1200000-400000-300000</f>
        <v>500000</v>
      </c>
      <c r="H178" s="23">
        <v>0</v>
      </c>
      <c r="I178" s="23">
        <v>0</v>
      </c>
    </row>
    <row r="179" spans="1:9" ht="25.5">
      <c r="A179" s="12" t="s">
        <v>346</v>
      </c>
      <c r="B179" s="63" t="s">
        <v>17</v>
      </c>
      <c r="C179" s="63" t="s">
        <v>34</v>
      </c>
      <c r="D179" s="63" t="s">
        <v>19</v>
      </c>
      <c r="E179" s="63" t="s">
        <v>345</v>
      </c>
      <c r="F179" s="63"/>
      <c r="G179" s="51">
        <f>G180</f>
        <v>366700</v>
      </c>
      <c r="H179" s="51">
        <f>H180</f>
        <v>876900</v>
      </c>
      <c r="I179" s="51">
        <f>I180</f>
        <v>912000</v>
      </c>
    </row>
    <row r="180" spans="1:9">
      <c r="A180" s="12" t="s">
        <v>37</v>
      </c>
      <c r="B180" s="63" t="s">
        <v>17</v>
      </c>
      <c r="C180" s="63" t="s">
        <v>34</v>
      </c>
      <c r="D180" s="63" t="s">
        <v>19</v>
      </c>
      <c r="E180" s="63" t="s">
        <v>345</v>
      </c>
      <c r="F180" s="63" t="s">
        <v>38</v>
      </c>
      <c r="G180" s="23">
        <f>843200-1300-100000-49000-326200</f>
        <v>366700</v>
      </c>
      <c r="H180" s="23">
        <v>876900</v>
      </c>
      <c r="I180" s="23">
        <v>912000</v>
      </c>
    </row>
    <row r="181" spans="1:9">
      <c r="A181" s="12" t="s">
        <v>149</v>
      </c>
      <c r="B181" s="13" t="s">
        <v>17</v>
      </c>
      <c r="C181" s="13" t="s">
        <v>34</v>
      </c>
      <c r="D181" s="13" t="s">
        <v>20</v>
      </c>
      <c r="E181" s="13"/>
      <c r="F181" s="13"/>
      <c r="G181" s="51">
        <f>G182+G184+G186+G188+G190+G194+G196+G198+G200+G203+G204+G205</f>
        <v>262181779.94</v>
      </c>
      <c r="H181" s="51">
        <f>H182+H184+H186+H188+H190+H192+H194+H196+H198</f>
        <v>56704601.940000005</v>
      </c>
      <c r="I181" s="65">
        <f>I182+I184+I186+I188+I190+I192+I198</f>
        <v>24825200</v>
      </c>
    </row>
    <row r="182" spans="1:9" ht="63.75" customHeight="1">
      <c r="A182" s="12" t="s">
        <v>151</v>
      </c>
      <c r="B182" s="63" t="s">
        <v>17</v>
      </c>
      <c r="C182" s="63" t="s">
        <v>34</v>
      </c>
      <c r="D182" s="63" t="s">
        <v>20</v>
      </c>
      <c r="E182" s="30" t="s">
        <v>150</v>
      </c>
      <c r="F182" s="63"/>
      <c r="G182" s="51">
        <f>G183</f>
        <v>929975.67999999993</v>
      </c>
      <c r="H182" s="51">
        <f>H183</f>
        <v>1122000</v>
      </c>
      <c r="I182" s="51">
        <f>I183</f>
        <v>1356200</v>
      </c>
    </row>
    <row r="183" spans="1:9">
      <c r="A183" s="12" t="s">
        <v>37</v>
      </c>
      <c r="B183" s="63" t="s">
        <v>17</v>
      </c>
      <c r="C183" s="63" t="s">
        <v>34</v>
      </c>
      <c r="D183" s="63" t="s">
        <v>20</v>
      </c>
      <c r="E183" s="30" t="s">
        <v>150</v>
      </c>
      <c r="F183" s="63" t="s">
        <v>38</v>
      </c>
      <c r="G183" s="53">
        <f>1218614+3600-499238.32+207000</f>
        <v>929975.67999999993</v>
      </c>
      <c r="H183" s="53">
        <v>1122000</v>
      </c>
      <c r="I183" s="53">
        <v>1356200</v>
      </c>
    </row>
    <row r="184" spans="1:9" ht="63.75" customHeight="1">
      <c r="A184" s="12" t="s">
        <v>151</v>
      </c>
      <c r="B184" s="13" t="s">
        <v>17</v>
      </c>
      <c r="C184" s="13" t="s">
        <v>34</v>
      </c>
      <c r="D184" s="13" t="s">
        <v>20</v>
      </c>
      <c r="E184" s="30" t="s">
        <v>150</v>
      </c>
      <c r="F184" s="13"/>
      <c r="G184" s="51">
        <f>G185</f>
        <v>0</v>
      </c>
      <c r="H184" s="51">
        <f>H185</f>
        <v>0</v>
      </c>
      <c r="I184" s="51">
        <f>I185</f>
        <v>0</v>
      </c>
    </row>
    <row r="185" spans="1:9">
      <c r="A185" s="12" t="s">
        <v>53</v>
      </c>
      <c r="B185" s="43" t="s">
        <v>17</v>
      </c>
      <c r="C185" s="43" t="s">
        <v>34</v>
      </c>
      <c r="D185" s="43" t="s">
        <v>20</v>
      </c>
      <c r="E185" s="36" t="s">
        <v>150</v>
      </c>
      <c r="F185" s="43" t="s">
        <v>54</v>
      </c>
      <c r="G185" s="23">
        <f>1122000-1122000</f>
        <v>0</v>
      </c>
      <c r="H185" s="23">
        <v>0</v>
      </c>
      <c r="I185" s="23">
        <v>0</v>
      </c>
    </row>
    <row r="186" spans="1:9" ht="25.5" customHeight="1">
      <c r="A186" s="49" t="s">
        <v>349</v>
      </c>
      <c r="B186" s="43" t="s">
        <v>17</v>
      </c>
      <c r="C186" s="43" t="s">
        <v>34</v>
      </c>
      <c r="D186" s="43" t="s">
        <v>20</v>
      </c>
      <c r="E186" s="48" t="s">
        <v>335</v>
      </c>
      <c r="F186" s="43"/>
      <c r="G186" s="51">
        <f>G187</f>
        <v>200000</v>
      </c>
      <c r="H186" s="51">
        <f>H187</f>
        <v>200000</v>
      </c>
      <c r="I186" s="51">
        <f>I187</f>
        <v>200000</v>
      </c>
    </row>
    <row r="187" spans="1:9">
      <c r="A187" s="12" t="s">
        <v>37</v>
      </c>
      <c r="B187" s="43" t="s">
        <v>17</v>
      </c>
      <c r="C187" s="43" t="s">
        <v>34</v>
      </c>
      <c r="D187" s="43" t="s">
        <v>20</v>
      </c>
      <c r="E187" s="48" t="s">
        <v>335</v>
      </c>
      <c r="F187" s="43" t="s">
        <v>38</v>
      </c>
      <c r="G187" s="23">
        <v>200000</v>
      </c>
      <c r="H187" s="23">
        <v>200000</v>
      </c>
      <c r="I187" s="23">
        <v>200000</v>
      </c>
    </row>
    <row r="188" spans="1:9" ht="38.25">
      <c r="A188" s="12" t="s">
        <v>347</v>
      </c>
      <c r="B188" s="43" t="s">
        <v>17</v>
      </c>
      <c r="C188" s="43" t="s">
        <v>34</v>
      </c>
      <c r="D188" s="43" t="s">
        <v>20</v>
      </c>
      <c r="E188" s="48" t="s">
        <v>364</v>
      </c>
      <c r="F188" s="43"/>
      <c r="G188" s="51">
        <f>G189</f>
        <v>235028615.75999999</v>
      </c>
      <c r="H188" s="51">
        <f>H189</f>
        <v>22500000</v>
      </c>
      <c r="I188" s="51">
        <f>I189</f>
        <v>22500000</v>
      </c>
    </row>
    <row r="189" spans="1:9">
      <c r="A189" s="12" t="s">
        <v>37</v>
      </c>
      <c r="B189" s="43" t="s">
        <v>17</v>
      </c>
      <c r="C189" s="43" t="s">
        <v>34</v>
      </c>
      <c r="D189" s="43" t="s">
        <v>20</v>
      </c>
      <c r="E189" s="48" t="s">
        <v>364</v>
      </c>
      <c r="F189" s="43" t="s">
        <v>38</v>
      </c>
      <c r="G189" s="23">
        <f>13704200+413631.28+990000+99424.48+117514290+14540670+87766400</f>
        <v>235028615.75999999</v>
      </c>
      <c r="H189" s="23">
        <v>22500000</v>
      </c>
      <c r="I189" s="23">
        <v>22500000</v>
      </c>
    </row>
    <row r="190" spans="1:9" ht="48.75">
      <c r="A190" s="47" t="s">
        <v>350</v>
      </c>
      <c r="B190" s="43" t="s">
        <v>17</v>
      </c>
      <c r="C190" s="43" t="s">
        <v>34</v>
      </c>
      <c r="D190" s="43" t="s">
        <v>20</v>
      </c>
      <c r="E190" s="48" t="s">
        <v>351</v>
      </c>
      <c r="F190" s="43"/>
      <c r="G190" s="51">
        <f>G191</f>
        <v>0</v>
      </c>
      <c r="H190" s="51">
        <f>H191</f>
        <v>0</v>
      </c>
      <c r="I190" s="51">
        <f>I191</f>
        <v>0</v>
      </c>
    </row>
    <row r="191" spans="1:9">
      <c r="A191" s="12" t="s">
        <v>37</v>
      </c>
      <c r="B191" s="43" t="s">
        <v>17</v>
      </c>
      <c r="C191" s="43" t="s">
        <v>34</v>
      </c>
      <c r="D191" s="43" t="s">
        <v>20</v>
      </c>
      <c r="E191" s="48" t="s">
        <v>351</v>
      </c>
      <c r="F191" s="43" t="s">
        <v>38</v>
      </c>
      <c r="G191" s="23">
        <f>11591500-11591500</f>
        <v>0</v>
      </c>
      <c r="H191" s="23">
        <f>14501500-14501500</f>
        <v>0</v>
      </c>
      <c r="I191" s="23">
        <v>0</v>
      </c>
    </row>
    <row r="192" spans="1:9" ht="38.25">
      <c r="A192" s="12" t="s">
        <v>347</v>
      </c>
      <c r="B192" s="43" t="s">
        <v>17</v>
      </c>
      <c r="C192" s="43" t="s">
        <v>34</v>
      </c>
      <c r="D192" s="43" t="s">
        <v>20</v>
      </c>
      <c r="E192" s="48" t="s">
        <v>348</v>
      </c>
      <c r="F192" s="43"/>
      <c r="G192" s="51">
        <f>G193</f>
        <v>0</v>
      </c>
      <c r="H192" s="51">
        <f>H193</f>
        <v>0</v>
      </c>
      <c r="I192" s="51">
        <f>I193</f>
        <v>0</v>
      </c>
    </row>
    <row r="193" spans="1:11">
      <c r="A193" s="12" t="s">
        <v>37</v>
      </c>
      <c r="B193" s="43" t="s">
        <v>17</v>
      </c>
      <c r="C193" s="43" t="s">
        <v>34</v>
      </c>
      <c r="D193" s="43" t="s">
        <v>20</v>
      </c>
      <c r="E193" s="48" t="s">
        <v>348</v>
      </c>
      <c r="F193" s="43" t="s">
        <v>38</v>
      </c>
      <c r="G193" s="23">
        <f>15590200-15590200</f>
        <v>0</v>
      </c>
      <c r="H193" s="23">
        <f>22500000-22500000</f>
        <v>0</v>
      </c>
      <c r="I193" s="23">
        <f>22500000-22500000</f>
        <v>0</v>
      </c>
    </row>
    <row r="194" spans="1:11" ht="50.25" customHeight="1">
      <c r="A194" s="12" t="s">
        <v>350</v>
      </c>
      <c r="B194" s="43" t="s">
        <v>17</v>
      </c>
      <c r="C194" s="43" t="s">
        <v>34</v>
      </c>
      <c r="D194" s="43" t="s">
        <v>20</v>
      </c>
      <c r="E194" s="48" t="s">
        <v>371</v>
      </c>
      <c r="F194" s="43"/>
      <c r="G194" s="51">
        <f>G195</f>
        <v>11591500</v>
      </c>
      <c r="H194" s="51">
        <f>H195</f>
        <v>31150193.880000003</v>
      </c>
      <c r="I194" s="51">
        <f>I195</f>
        <v>0</v>
      </c>
    </row>
    <row r="195" spans="1:11">
      <c r="A195" s="12" t="s">
        <v>37</v>
      </c>
      <c r="B195" s="43" t="s">
        <v>17</v>
      </c>
      <c r="C195" s="43" t="s">
        <v>34</v>
      </c>
      <c r="D195" s="43" t="s">
        <v>20</v>
      </c>
      <c r="E195" s="48" t="s">
        <v>371</v>
      </c>
      <c r="F195" s="43" t="s">
        <v>38</v>
      </c>
      <c r="G195" s="23">
        <v>11591500</v>
      </c>
      <c r="H195" s="23">
        <f>14501500+16648693.88</f>
        <v>31150193.880000003</v>
      </c>
      <c r="I195" s="23">
        <v>0</v>
      </c>
    </row>
    <row r="196" spans="1:11" ht="51">
      <c r="A196" s="12" t="s">
        <v>372</v>
      </c>
      <c r="B196" s="43" t="s">
        <v>17</v>
      </c>
      <c r="C196" s="43" t="s">
        <v>34</v>
      </c>
      <c r="D196" s="43" t="s">
        <v>20</v>
      </c>
      <c r="E196" s="48" t="s">
        <v>373</v>
      </c>
      <c r="F196" s="43"/>
      <c r="G196" s="51">
        <f>G197</f>
        <v>358500</v>
      </c>
      <c r="H196" s="51">
        <f>H197</f>
        <v>963408.06</v>
      </c>
      <c r="I196" s="51">
        <f>I197</f>
        <v>0</v>
      </c>
      <c r="K196" s="1" t="s">
        <v>309</v>
      </c>
    </row>
    <row r="197" spans="1:11">
      <c r="A197" s="12" t="s">
        <v>37</v>
      </c>
      <c r="B197" s="43" t="s">
        <v>17</v>
      </c>
      <c r="C197" s="43" t="s">
        <v>34</v>
      </c>
      <c r="D197" s="43" t="s">
        <v>20</v>
      </c>
      <c r="E197" s="48" t="s">
        <v>373</v>
      </c>
      <c r="F197" s="43" t="s">
        <v>38</v>
      </c>
      <c r="G197" s="23">
        <v>358500</v>
      </c>
      <c r="H197" s="23">
        <f>448500+514908.06</f>
        <v>963408.06</v>
      </c>
      <c r="I197" s="23">
        <v>0</v>
      </c>
    </row>
    <row r="198" spans="1:11" ht="63.75">
      <c r="A198" s="35" t="s">
        <v>161</v>
      </c>
      <c r="B198" s="30" t="s">
        <v>17</v>
      </c>
      <c r="C198" s="30" t="s">
        <v>34</v>
      </c>
      <c r="D198" s="30" t="s">
        <v>20</v>
      </c>
      <c r="E198" s="30" t="s">
        <v>162</v>
      </c>
      <c r="F198" s="31"/>
      <c r="G198" s="51">
        <f>G199</f>
        <v>0</v>
      </c>
      <c r="H198" s="51">
        <f>H199</f>
        <v>769000</v>
      </c>
      <c r="I198" s="51">
        <f>I199</f>
        <v>769000</v>
      </c>
    </row>
    <row r="199" spans="1:11" ht="51">
      <c r="A199" s="34" t="s">
        <v>318</v>
      </c>
      <c r="B199" s="30" t="s">
        <v>17</v>
      </c>
      <c r="C199" s="30" t="s">
        <v>34</v>
      </c>
      <c r="D199" s="30" t="s">
        <v>20</v>
      </c>
      <c r="E199" s="30" t="s">
        <v>162</v>
      </c>
      <c r="F199" s="30" t="s">
        <v>108</v>
      </c>
      <c r="G199" s="23">
        <f>769000-769000</f>
        <v>0</v>
      </c>
      <c r="H199" s="23">
        <v>769000</v>
      </c>
      <c r="I199" s="23">
        <v>769000</v>
      </c>
    </row>
    <row r="200" spans="1:11" ht="38.25">
      <c r="A200" s="12" t="s">
        <v>398</v>
      </c>
      <c r="B200" s="44" t="s">
        <v>17</v>
      </c>
      <c r="C200" s="44" t="s">
        <v>34</v>
      </c>
      <c r="D200" s="44" t="s">
        <v>20</v>
      </c>
      <c r="E200" s="44" t="s">
        <v>399</v>
      </c>
      <c r="F200" s="30"/>
      <c r="G200" s="51">
        <f>G201+G202</f>
        <v>42588.5</v>
      </c>
      <c r="H200" s="51">
        <f>H201</f>
        <v>0</v>
      </c>
      <c r="I200" s="51">
        <f>I201</f>
        <v>0</v>
      </c>
    </row>
    <row r="201" spans="1:11">
      <c r="A201" s="12" t="s">
        <v>37</v>
      </c>
      <c r="B201" s="44" t="s">
        <v>17</v>
      </c>
      <c r="C201" s="44" t="s">
        <v>34</v>
      </c>
      <c r="D201" s="44" t="s">
        <v>20</v>
      </c>
      <c r="E201" s="44" t="s">
        <v>399</v>
      </c>
      <c r="F201" s="44" t="s">
        <v>38</v>
      </c>
      <c r="G201" s="23">
        <f>42588.5-42588.5</f>
        <v>0</v>
      </c>
      <c r="H201" s="23">
        <v>0</v>
      </c>
      <c r="I201" s="23">
        <v>0</v>
      </c>
    </row>
    <row r="202" spans="1:11">
      <c r="A202" s="12" t="s">
        <v>336</v>
      </c>
      <c r="B202" s="44" t="s">
        <v>17</v>
      </c>
      <c r="C202" s="44" t="s">
        <v>34</v>
      </c>
      <c r="D202" s="44" t="s">
        <v>20</v>
      </c>
      <c r="E202" s="44" t="s">
        <v>399</v>
      </c>
      <c r="F202" s="44" t="s">
        <v>337</v>
      </c>
      <c r="G202" s="23">
        <v>42588.5</v>
      </c>
      <c r="H202" s="23">
        <v>0</v>
      </c>
      <c r="I202" s="23">
        <v>0</v>
      </c>
    </row>
    <row r="203" spans="1:11" ht="25.5">
      <c r="A203" s="12" t="s">
        <v>445</v>
      </c>
      <c r="B203" s="44" t="s">
        <v>17</v>
      </c>
      <c r="C203" s="44" t="s">
        <v>34</v>
      </c>
      <c r="D203" s="44" t="s">
        <v>20</v>
      </c>
      <c r="E203" s="44" t="s">
        <v>444</v>
      </c>
      <c r="F203" s="44" t="s">
        <v>38</v>
      </c>
      <c r="G203" s="23">
        <v>6610000</v>
      </c>
      <c r="H203" s="23">
        <v>0</v>
      </c>
      <c r="I203" s="23">
        <v>0</v>
      </c>
    </row>
    <row r="204" spans="1:11" ht="25.5">
      <c r="A204" s="12" t="s">
        <v>441</v>
      </c>
      <c r="B204" s="44" t="s">
        <v>17</v>
      </c>
      <c r="C204" s="44" t="s">
        <v>34</v>
      </c>
      <c r="D204" s="44" t="s">
        <v>20</v>
      </c>
      <c r="E204" s="44" t="s">
        <v>442</v>
      </c>
      <c r="F204" s="44" t="s">
        <v>38</v>
      </c>
      <c r="G204" s="23">
        <v>4461000</v>
      </c>
      <c r="H204" s="23">
        <v>0</v>
      </c>
      <c r="I204" s="23">
        <v>0</v>
      </c>
    </row>
    <row r="205" spans="1:11">
      <c r="A205" s="75" t="s">
        <v>365</v>
      </c>
      <c r="B205" s="44" t="s">
        <v>17</v>
      </c>
      <c r="C205" s="44" t="s">
        <v>34</v>
      </c>
      <c r="D205" s="44" t="s">
        <v>20</v>
      </c>
      <c r="E205" s="44" t="s">
        <v>370</v>
      </c>
      <c r="F205" s="30"/>
      <c r="G205" s="51">
        <f>G206+G208</f>
        <v>2959600</v>
      </c>
      <c r="H205" s="51">
        <v>0</v>
      </c>
      <c r="I205" s="51">
        <v>0</v>
      </c>
    </row>
    <row r="206" spans="1:11">
      <c r="A206" s="75" t="s">
        <v>366</v>
      </c>
      <c r="B206" s="44" t="s">
        <v>17</v>
      </c>
      <c r="C206" s="44" t="s">
        <v>34</v>
      </c>
      <c r="D206" s="44" t="s">
        <v>20</v>
      </c>
      <c r="E206" s="44" t="s">
        <v>368</v>
      </c>
      <c r="F206" s="30"/>
      <c r="G206" s="53">
        <f>G207</f>
        <v>1886000</v>
      </c>
      <c r="H206" s="23">
        <v>0</v>
      </c>
      <c r="I206" s="23">
        <v>0</v>
      </c>
    </row>
    <row r="207" spans="1:11">
      <c r="A207" s="75" t="s">
        <v>367</v>
      </c>
      <c r="B207" s="44" t="s">
        <v>17</v>
      </c>
      <c r="C207" s="44" t="s">
        <v>34</v>
      </c>
      <c r="D207" s="44" t="s">
        <v>20</v>
      </c>
      <c r="E207" s="44" t="s">
        <v>368</v>
      </c>
      <c r="F207" s="44" t="s">
        <v>369</v>
      </c>
      <c r="G207" s="23">
        <v>1886000</v>
      </c>
      <c r="H207" s="23">
        <v>0</v>
      </c>
      <c r="I207" s="23">
        <v>0</v>
      </c>
    </row>
    <row r="208" spans="1:11" ht="38.25">
      <c r="A208" s="82" t="s">
        <v>410</v>
      </c>
      <c r="B208" s="44" t="s">
        <v>17</v>
      </c>
      <c r="C208" s="44" t="s">
        <v>34</v>
      </c>
      <c r="D208" s="44" t="s">
        <v>20</v>
      </c>
      <c r="E208" s="44" t="s">
        <v>403</v>
      </c>
      <c r="F208" s="44"/>
      <c r="G208" s="23">
        <v>1073600</v>
      </c>
      <c r="H208" s="23">
        <v>0</v>
      </c>
      <c r="I208" s="23">
        <v>0</v>
      </c>
    </row>
    <row r="209" spans="1:12">
      <c r="A209" s="12" t="s">
        <v>37</v>
      </c>
      <c r="B209" s="44" t="s">
        <v>17</v>
      </c>
      <c r="C209" s="44" t="s">
        <v>34</v>
      </c>
      <c r="D209" s="44" t="s">
        <v>20</v>
      </c>
      <c r="E209" s="44" t="s">
        <v>403</v>
      </c>
      <c r="F209" s="44" t="s">
        <v>38</v>
      </c>
      <c r="G209" s="23">
        <v>1073600</v>
      </c>
      <c r="H209" s="23">
        <v>0</v>
      </c>
      <c r="I209" s="23">
        <v>0</v>
      </c>
    </row>
    <row r="210" spans="1:12">
      <c r="A210" s="12" t="s">
        <v>152</v>
      </c>
      <c r="B210" s="13" t="s">
        <v>17</v>
      </c>
      <c r="C210" s="13" t="s">
        <v>34</v>
      </c>
      <c r="D210" s="13" t="s">
        <v>72</v>
      </c>
      <c r="E210" s="13"/>
      <c r="F210" s="13"/>
      <c r="G210" s="51">
        <f>G211+G214+G216+G218+G220+G222+G224+G226</f>
        <v>13705533.98</v>
      </c>
      <c r="H210" s="51">
        <f>H211+H214+H216+H218+H220+H222</f>
        <v>12614515</v>
      </c>
      <c r="I210" s="65">
        <f>I211+I214+I216+I218+I220+I222</f>
        <v>9518587</v>
      </c>
    </row>
    <row r="211" spans="1:12">
      <c r="A211" s="12" t="s">
        <v>153</v>
      </c>
      <c r="B211" s="13" t="s">
        <v>17</v>
      </c>
      <c r="C211" s="13" t="s">
        <v>34</v>
      </c>
      <c r="D211" s="13" t="s">
        <v>72</v>
      </c>
      <c r="E211" s="13" t="s">
        <v>154</v>
      </c>
      <c r="F211" s="13"/>
      <c r="G211" s="51">
        <f>G212+G213</f>
        <v>5362590.67</v>
      </c>
      <c r="H211" s="51">
        <f>H212+H213</f>
        <v>6057065</v>
      </c>
      <c r="I211" s="51">
        <f>I212+I213</f>
        <v>6284937</v>
      </c>
    </row>
    <row r="212" spans="1:12">
      <c r="A212" s="12" t="s">
        <v>37</v>
      </c>
      <c r="B212" s="13" t="s">
        <v>17</v>
      </c>
      <c r="C212" s="13" t="s">
        <v>34</v>
      </c>
      <c r="D212" s="13" t="s">
        <v>72</v>
      </c>
      <c r="E212" s="13" t="s">
        <v>154</v>
      </c>
      <c r="F212" s="13" t="s">
        <v>38</v>
      </c>
      <c r="G212" s="23">
        <v>1341284.22</v>
      </c>
      <c r="H212" s="25">
        <v>2190374.6</v>
      </c>
      <c r="I212" s="25">
        <v>2269953.4700000002</v>
      </c>
    </row>
    <row r="213" spans="1:12">
      <c r="A213" s="12" t="s">
        <v>53</v>
      </c>
      <c r="B213" s="13" t="s">
        <v>17</v>
      </c>
      <c r="C213" s="13" t="s">
        <v>34</v>
      </c>
      <c r="D213" s="13" t="s">
        <v>72</v>
      </c>
      <c r="E213" s="13" t="s">
        <v>154</v>
      </c>
      <c r="F213" s="13" t="s">
        <v>54</v>
      </c>
      <c r="G213" s="23">
        <f>3853715.78-77230+244820.67</f>
        <v>4021306.4499999997</v>
      </c>
      <c r="H213" s="25">
        <v>3866690.4</v>
      </c>
      <c r="I213" s="25">
        <v>4014983.53</v>
      </c>
    </row>
    <row r="214" spans="1:12">
      <c r="A214" s="12" t="s">
        <v>354</v>
      </c>
      <c r="B214" s="63" t="s">
        <v>17</v>
      </c>
      <c r="C214" s="63" t="s">
        <v>34</v>
      </c>
      <c r="D214" s="63" t="s">
        <v>72</v>
      </c>
      <c r="E214" s="63" t="s">
        <v>352</v>
      </c>
      <c r="F214" s="63"/>
      <c r="G214" s="51">
        <f>G215</f>
        <v>0</v>
      </c>
      <c r="H214" s="51">
        <f>H215</f>
        <v>3246000</v>
      </c>
      <c r="I214" s="51">
        <f>I215</f>
        <v>0</v>
      </c>
    </row>
    <row r="215" spans="1:12">
      <c r="A215" s="12" t="s">
        <v>37</v>
      </c>
      <c r="B215" s="63" t="s">
        <v>17</v>
      </c>
      <c r="C215" s="63" t="s">
        <v>34</v>
      </c>
      <c r="D215" s="63" t="s">
        <v>72</v>
      </c>
      <c r="E215" s="63" t="s">
        <v>352</v>
      </c>
      <c r="F215" s="63" t="s">
        <v>38</v>
      </c>
      <c r="G215" s="23">
        <f>277500-277500</f>
        <v>0</v>
      </c>
      <c r="H215" s="25">
        <v>3246000</v>
      </c>
      <c r="I215" s="25">
        <v>0</v>
      </c>
    </row>
    <row r="216" spans="1:12">
      <c r="A216" s="12" t="s">
        <v>155</v>
      </c>
      <c r="B216" s="13" t="s">
        <v>17</v>
      </c>
      <c r="C216" s="13" t="s">
        <v>34</v>
      </c>
      <c r="D216" s="13" t="s">
        <v>72</v>
      </c>
      <c r="E216" s="13" t="s">
        <v>156</v>
      </c>
      <c r="F216" s="13"/>
      <c r="G216" s="51">
        <f>G217</f>
        <v>444474.4</v>
      </c>
      <c r="H216" s="51">
        <f>H217</f>
        <v>815150</v>
      </c>
      <c r="I216" s="51">
        <f>I217</f>
        <v>734350</v>
      </c>
    </row>
    <row r="217" spans="1:12">
      <c r="A217" s="12" t="s">
        <v>37</v>
      </c>
      <c r="B217" s="13" t="s">
        <v>17</v>
      </c>
      <c r="C217" s="13" t="s">
        <v>34</v>
      </c>
      <c r="D217" s="13" t="s">
        <v>72</v>
      </c>
      <c r="E217" s="13" t="s">
        <v>156</v>
      </c>
      <c r="F217" s="13" t="s">
        <v>38</v>
      </c>
      <c r="G217" s="23">
        <f>629000-175420.6-9105</f>
        <v>444474.4</v>
      </c>
      <c r="H217" s="23">
        <v>815150</v>
      </c>
      <c r="I217" s="23">
        <v>734350</v>
      </c>
    </row>
    <row r="218" spans="1:12" ht="63.75">
      <c r="A218" s="12" t="s">
        <v>157</v>
      </c>
      <c r="B218" s="13" t="s">
        <v>17</v>
      </c>
      <c r="C218" s="13" t="s">
        <v>34</v>
      </c>
      <c r="D218" s="13" t="s">
        <v>72</v>
      </c>
      <c r="E218" s="13" t="s">
        <v>158</v>
      </c>
      <c r="F218" s="13"/>
      <c r="G218" s="51">
        <f>G219</f>
        <v>2081983.5399999998</v>
      </c>
      <c r="H218" s="51">
        <f>H219</f>
        <v>2496300</v>
      </c>
      <c r="I218" s="51">
        <f>I219</f>
        <v>2499300</v>
      </c>
      <c r="K218" s="1" t="s">
        <v>309</v>
      </c>
      <c r="L218" s="1" t="s">
        <v>309</v>
      </c>
    </row>
    <row r="219" spans="1:12">
      <c r="A219" s="12" t="s">
        <v>37</v>
      </c>
      <c r="B219" s="13" t="s">
        <v>17</v>
      </c>
      <c r="C219" s="13" t="s">
        <v>34</v>
      </c>
      <c r="D219" s="13" t="s">
        <v>72</v>
      </c>
      <c r="E219" s="13" t="s">
        <v>158</v>
      </c>
      <c r="F219" s="13" t="s">
        <v>38</v>
      </c>
      <c r="G219" s="53">
        <f>2014844.8-200000-94900+263187.92+94900-22857.8-30000-27000+19137.23+64671.39</f>
        <v>2081983.5399999998</v>
      </c>
      <c r="H219" s="23">
        <v>2496300</v>
      </c>
      <c r="I219" s="23">
        <v>2499300</v>
      </c>
    </row>
    <row r="220" spans="1:12" ht="17.25" customHeight="1">
      <c r="A220" s="42" t="s">
        <v>324</v>
      </c>
      <c r="B220" s="13" t="s">
        <v>17</v>
      </c>
      <c r="C220" s="13" t="s">
        <v>34</v>
      </c>
      <c r="D220" s="13" t="s">
        <v>72</v>
      </c>
      <c r="E220" s="44" t="s">
        <v>338</v>
      </c>
      <c r="F220" s="13"/>
      <c r="G220" s="51">
        <f>G221</f>
        <v>0</v>
      </c>
      <c r="H220" s="51">
        <f>H221</f>
        <v>0</v>
      </c>
      <c r="I220" s="51">
        <f>I221</f>
        <v>0</v>
      </c>
    </row>
    <row r="221" spans="1:12" ht="17.25" customHeight="1">
      <c r="A221" s="12" t="s">
        <v>37</v>
      </c>
      <c r="B221" s="57" t="s">
        <v>17</v>
      </c>
      <c r="C221" s="57" t="s">
        <v>34</v>
      </c>
      <c r="D221" s="57" t="s">
        <v>72</v>
      </c>
      <c r="E221" s="44" t="s">
        <v>338</v>
      </c>
      <c r="F221" s="57" t="s">
        <v>38</v>
      </c>
      <c r="G221" s="23">
        <f>620100-145000-375100-100000</f>
        <v>0</v>
      </c>
      <c r="H221" s="23">
        <v>0</v>
      </c>
      <c r="I221" s="23">
        <v>0</v>
      </c>
    </row>
    <row r="222" spans="1:12" ht="17.25" customHeight="1">
      <c r="A222" s="42" t="s">
        <v>324</v>
      </c>
      <c r="B222" s="56" t="s">
        <v>17</v>
      </c>
      <c r="C222" s="56" t="s">
        <v>34</v>
      </c>
      <c r="D222" s="56" t="s">
        <v>72</v>
      </c>
      <c r="E222" s="30" t="s">
        <v>160</v>
      </c>
      <c r="F222" s="56"/>
      <c r="G222" s="51">
        <f>G223</f>
        <v>0</v>
      </c>
      <c r="H222" s="51">
        <f>H223</f>
        <v>0</v>
      </c>
      <c r="I222" s="51">
        <f>I223</f>
        <v>0</v>
      </c>
    </row>
    <row r="223" spans="1:12">
      <c r="A223" s="12" t="s">
        <v>37</v>
      </c>
      <c r="B223" s="13" t="s">
        <v>17</v>
      </c>
      <c r="C223" s="13" t="s">
        <v>34</v>
      </c>
      <c r="D223" s="13" t="s">
        <v>72</v>
      </c>
      <c r="E223" s="30" t="s">
        <v>160</v>
      </c>
      <c r="F223" s="13" t="s">
        <v>38</v>
      </c>
      <c r="G223" s="23">
        <f>620100-620100</f>
        <v>0</v>
      </c>
      <c r="H223" s="23">
        <v>0</v>
      </c>
      <c r="I223" s="23">
        <v>0</v>
      </c>
    </row>
    <row r="224" spans="1:12">
      <c r="A224" s="12" t="s">
        <v>396</v>
      </c>
      <c r="B224" s="63" t="s">
        <v>17</v>
      </c>
      <c r="C224" s="63" t="s">
        <v>34</v>
      </c>
      <c r="D224" s="63" t="s">
        <v>72</v>
      </c>
      <c r="E224" s="44" t="s">
        <v>397</v>
      </c>
      <c r="F224" s="63"/>
      <c r="G224" s="51">
        <f>G225</f>
        <v>7930.37</v>
      </c>
      <c r="H224" s="51">
        <f>H225</f>
        <v>0</v>
      </c>
      <c r="I224" s="51">
        <f>I225</f>
        <v>0</v>
      </c>
    </row>
    <row r="225" spans="1:9">
      <c r="A225" s="12" t="s">
        <v>37</v>
      </c>
      <c r="B225" s="63" t="s">
        <v>17</v>
      </c>
      <c r="C225" s="63" t="s">
        <v>34</v>
      </c>
      <c r="D225" s="63" t="s">
        <v>72</v>
      </c>
      <c r="E225" s="44" t="s">
        <v>397</v>
      </c>
      <c r="F225" s="63" t="s">
        <v>38</v>
      </c>
      <c r="G225" s="23">
        <f>12600-4669.63</f>
        <v>7930.37</v>
      </c>
      <c r="H225" s="23">
        <v>0</v>
      </c>
      <c r="I225" s="23">
        <v>0</v>
      </c>
    </row>
    <row r="226" spans="1:9">
      <c r="A226" s="12" t="s">
        <v>365</v>
      </c>
      <c r="B226" s="63" t="s">
        <v>17</v>
      </c>
      <c r="C226" s="63" t="s">
        <v>34</v>
      </c>
      <c r="D226" s="63" t="s">
        <v>72</v>
      </c>
      <c r="E226" s="44" t="s">
        <v>370</v>
      </c>
      <c r="F226" s="63"/>
      <c r="G226" s="51">
        <f>G227</f>
        <v>5808555</v>
      </c>
      <c r="H226" s="23">
        <v>0</v>
      </c>
      <c r="I226" s="23">
        <v>0</v>
      </c>
    </row>
    <row r="227" spans="1:9" ht="25.5">
      <c r="A227" s="80" t="s">
        <v>402</v>
      </c>
      <c r="B227" s="63" t="s">
        <v>17</v>
      </c>
      <c r="C227" s="63" t="s">
        <v>34</v>
      </c>
      <c r="D227" s="63" t="s">
        <v>72</v>
      </c>
      <c r="E227" s="44" t="s">
        <v>403</v>
      </c>
      <c r="F227" s="63"/>
      <c r="G227" s="53">
        <f>G228</f>
        <v>5808555</v>
      </c>
      <c r="H227" s="23">
        <v>0</v>
      </c>
      <c r="I227" s="23">
        <v>0</v>
      </c>
    </row>
    <row r="228" spans="1:9">
      <c r="A228" s="12" t="s">
        <v>37</v>
      </c>
      <c r="B228" s="63" t="s">
        <v>17</v>
      </c>
      <c r="C228" s="63" t="s">
        <v>34</v>
      </c>
      <c r="D228" s="63" t="s">
        <v>72</v>
      </c>
      <c r="E228" s="44" t="s">
        <v>403</v>
      </c>
      <c r="F228" s="63" t="s">
        <v>38</v>
      </c>
      <c r="G228" s="23">
        <f>1967300+3841255</f>
        <v>5808555</v>
      </c>
      <c r="H228" s="23">
        <v>0</v>
      </c>
      <c r="I228" s="23">
        <v>0</v>
      </c>
    </row>
    <row r="229" spans="1:9" ht="25.5">
      <c r="A229" s="12" t="s">
        <v>159</v>
      </c>
      <c r="B229" s="63" t="s">
        <v>17</v>
      </c>
      <c r="C229" s="63" t="s">
        <v>34</v>
      </c>
      <c r="D229" s="63" t="s">
        <v>34</v>
      </c>
      <c r="E229" s="44" t="s">
        <v>160</v>
      </c>
      <c r="F229" s="63"/>
      <c r="G229" s="51">
        <f>G230</f>
        <v>443465.65</v>
      </c>
      <c r="H229" s="51">
        <f>H230</f>
        <v>0</v>
      </c>
      <c r="I229" s="65">
        <f>I230</f>
        <v>0</v>
      </c>
    </row>
    <row r="230" spans="1:9" ht="40.5" customHeight="1">
      <c r="A230" s="12" t="s">
        <v>353</v>
      </c>
      <c r="B230" s="63" t="s">
        <v>17</v>
      </c>
      <c r="C230" s="63" t="s">
        <v>34</v>
      </c>
      <c r="D230" s="63" t="s">
        <v>34</v>
      </c>
      <c r="E230" s="30" t="s">
        <v>160</v>
      </c>
      <c r="F230" s="63"/>
      <c r="G230" s="53">
        <f>G231+G232</f>
        <v>443465.65</v>
      </c>
      <c r="H230" s="53">
        <f>H231+H232</f>
        <v>0</v>
      </c>
      <c r="I230" s="53">
        <f>I231+I232</f>
        <v>0</v>
      </c>
    </row>
    <row r="231" spans="1:9">
      <c r="A231" s="12" t="s">
        <v>37</v>
      </c>
      <c r="B231" s="63" t="s">
        <v>17</v>
      </c>
      <c r="C231" s="63" t="s">
        <v>34</v>
      </c>
      <c r="D231" s="63" t="s">
        <v>34</v>
      </c>
      <c r="E231" s="30" t="s">
        <v>160</v>
      </c>
      <c r="F231" s="63" t="s">
        <v>38</v>
      </c>
      <c r="G231" s="23">
        <f>205100+37270-48904.35</f>
        <v>193465.65</v>
      </c>
      <c r="H231" s="23">
        <v>0</v>
      </c>
      <c r="I231" s="23">
        <v>0</v>
      </c>
    </row>
    <row r="232" spans="1:9">
      <c r="A232" s="12" t="s">
        <v>53</v>
      </c>
      <c r="B232" s="63" t="s">
        <v>17</v>
      </c>
      <c r="C232" s="63" t="s">
        <v>34</v>
      </c>
      <c r="D232" s="63" t="s">
        <v>34</v>
      </c>
      <c r="E232" s="30" t="s">
        <v>160</v>
      </c>
      <c r="F232" s="63" t="s">
        <v>54</v>
      </c>
      <c r="G232" s="23">
        <f>200000+50000</f>
        <v>250000</v>
      </c>
      <c r="H232" s="23">
        <v>0</v>
      </c>
      <c r="I232" s="23">
        <v>0</v>
      </c>
    </row>
    <row r="233" spans="1:9" ht="25.5">
      <c r="A233" s="12" t="s">
        <v>163</v>
      </c>
      <c r="B233" s="13" t="s">
        <v>17</v>
      </c>
      <c r="C233" s="13" t="s">
        <v>100</v>
      </c>
      <c r="D233" s="13" t="s">
        <v>72</v>
      </c>
      <c r="E233" s="13"/>
      <c r="F233" s="13"/>
      <c r="G233" s="51">
        <f>G234</f>
        <v>456233.61</v>
      </c>
      <c r="H233" s="51">
        <f>H234</f>
        <v>334600</v>
      </c>
      <c r="I233" s="65">
        <f>I234</f>
        <v>334600</v>
      </c>
    </row>
    <row r="234" spans="1:9" ht="51">
      <c r="A234" s="12" t="s">
        <v>164</v>
      </c>
      <c r="B234" s="13" t="s">
        <v>17</v>
      </c>
      <c r="C234" s="13" t="s">
        <v>100</v>
      </c>
      <c r="D234" s="13" t="s">
        <v>72</v>
      </c>
      <c r="E234" s="13" t="s">
        <v>165</v>
      </c>
      <c r="F234" s="13"/>
      <c r="G234" s="51">
        <f>G235+G236</f>
        <v>456233.61</v>
      </c>
      <c r="H234" s="51">
        <f>H235+H236</f>
        <v>334600</v>
      </c>
      <c r="I234" s="51">
        <f>I235+I236</f>
        <v>334600</v>
      </c>
    </row>
    <row r="235" spans="1:9">
      <c r="A235" s="12" t="s">
        <v>37</v>
      </c>
      <c r="B235" s="13" t="s">
        <v>17</v>
      </c>
      <c r="C235" s="13" t="s">
        <v>100</v>
      </c>
      <c r="D235" s="13" t="s">
        <v>72</v>
      </c>
      <c r="E235" s="13" t="s">
        <v>165</v>
      </c>
      <c r="F235" s="13" t="s">
        <v>38</v>
      </c>
      <c r="G235" s="23">
        <f>542400+44230-388000+145000+2470+57000-24300+9433.61+24300</f>
        <v>412533.61</v>
      </c>
      <c r="H235" s="23">
        <v>315900</v>
      </c>
      <c r="I235" s="23">
        <v>315900</v>
      </c>
    </row>
    <row r="236" spans="1:9">
      <c r="A236" s="12" t="s">
        <v>53</v>
      </c>
      <c r="B236" s="13" t="s">
        <v>17</v>
      </c>
      <c r="C236" s="13" t="s">
        <v>100</v>
      </c>
      <c r="D236" s="13" t="s">
        <v>72</v>
      </c>
      <c r="E236" s="13" t="s">
        <v>165</v>
      </c>
      <c r="F236" s="13" t="s">
        <v>54</v>
      </c>
      <c r="G236" s="23">
        <f>18700+25000</f>
        <v>43700</v>
      </c>
      <c r="H236" s="23">
        <v>18700</v>
      </c>
      <c r="I236" s="23">
        <v>18700</v>
      </c>
    </row>
    <row r="237" spans="1:9">
      <c r="A237" s="12" t="s">
        <v>166</v>
      </c>
      <c r="B237" s="13" t="s">
        <v>17</v>
      </c>
      <c r="C237" s="13" t="s">
        <v>167</v>
      </c>
      <c r="D237" s="13" t="s">
        <v>19</v>
      </c>
      <c r="E237" s="13"/>
      <c r="F237" s="13"/>
      <c r="G237" s="51">
        <f>G238+G240+G241+G243</f>
        <v>50827005.400000006</v>
      </c>
      <c r="H237" s="51">
        <f>H238+H241+H243</f>
        <v>54438000</v>
      </c>
      <c r="I237" s="65">
        <f>I238+I241+I243</f>
        <v>52416000</v>
      </c>
    </row>
    <row r="238" spans="1:9" ht="51">
      <c r="A238" s="12" t="s">
        <v>168</v>
      </c>
      <c r="B238" s="13" t="s">
        <v>17</v>
      </c>
      <c r="C238" s="13" t="s">
        <v>167</v>
      </c>
      <c r="D238" s="13" t="s">
        <v>19</v>
      </c>
      <c r="E238" s="13" t="s">
        <v>169</v>
      </c>
      <c r="F238" s="13"/>
      <c r="G238" s="51">
        <f>G239</f>
        <v>27150712.100000001</v>
      </c>
      <c r="H238" s="51">
        <f>H239</f>
        <v>30000000</v>
      </c>
      <c r="I238" s="51">
        <f>I239</f>
        <v>27000000</v>
      </c>
    </row>
    <row r="239" spans="1:9" ht="51">
      <c r="A239" s="12" t="s">
        <v>170</v>
      </c>
      <c r="B239" s="13" t="s">
        <v>17</v>
      </c>
      <c r="C239" s="13" t="s">
        <v>167</v>
      </c>
      <c r="D239" s="13" t="s">
        <v>19</v>
      </c>
      <c r="E239" s="13" t="s">
        <v>169</v>
      </c>
      <c r="F239" s="13" t="s">
        <v>171</v>
      </c>
      <c r="G239" s="23">
        <f>29075000-400000-394287.9-1130000</f>
        <v>27150712.100000001</v>
      </c>
      <c r="H239" s="23">
        <v>30000000</v>
      </c>
      <c r="I239" s="23">
        <f>27798900-798900</f>
        <v>27000000</v>
      </c>
    </row>
    <row r="240" spans="1:9" ht="76.5" customHeight="1">
      <c r="A240" s="12" t="s">
        <v>431</v>
      </c>
      <c r="B240" s="63" t="s">
        <v>17</v>
      </c>
      <c r="C240" s="63" t="s">
        <v>167</v>
      </c>
      <c r="D240" s="63" t="s">
        <v>19</v>
      </c>
      <c r="E240" s="63" t="s">
        <v>432</v>
      </c>
      <c r="F240" s="63" t="s">
        <v>171</v>
      </c>
      <c r="G240" s="23">
        <v>138893.29999999999</v>
      </c>
      <c r="H240" s="23">
        <v>0</v>
      </c>
      <c r="I240" s="23">
        <v>0</v>
      </c>
    </row>
    <row r="241" spans="1:9" ht="76.5">
      <c r="A241" s="12" t="s">
        <v>172</v>
      </c>
      <c r="B241" s="13" t="s">
        <v>17</v>
      </c>
      <c r="C241" s="13" t="s">
        <v>167</v>
      </c>
      <c r="D241" s="13" t="s">
        <v>19</v>
      </c>
      <c r="E241" s="13" t="s">
        <v>173</v>
      </c>
      <c r="F241" s="13"/>
      <c r="G241" s="51">
        <f>G242</f>
        <v>23291400</v>
      </c>
      <c r="H241" s="51">
        <f>H242</f>
        <v>24182000</v>
      </c>
      <c r="I241" s="51">
        <f>I242</f>
        <v>25150000</v>
      </c>
    </row>
    <row r="242" spans="1:9" ht="51">
      <c r="A242" s="12" t="s">
        <v>170</v>
      </c>
      <c r="B242" s="13" t="s">
        <v>17</v>
      </c>
      <c r="C242" s="13" t="s">
        <v>167</v>
      </c>
      <c r="D242" s="13" t="s">
        <v>19</v>
      </c>
      <c r="E242" s="13" t="s">
        <v>173</v>
      </c>
      <c r="F242" s="13" t="s">
        <v>171</v>
      </c>
      <c r="G242" s="23">
        <f>23169000+122400</f>
        <v>23291400</v>
      </c>
      <c r="H242" s="23">
        <v>24182000</v>
      </c>
      <c r="I242" s="23">
        <v>25150000</v>
      </c>
    </row>
    <row r="243" spans="1:9" ht="76.5">
      <c r="A243" s="12" t="s">
        <v>174</v>
      </c>
      <c r="B243" s="13" t="s">
        <v>17</v>
      </c>
      <c r="C243" s="13" t="s">
        <v>167</v>
      </c>
      <c r="D243" s="13" t="s">
        <v>19</v>
      </c>
      <c r="E243" s="13" t="s">
        <v>175</v>
      </c>
      <c r="F243" s="13"/>
      <c r="G243" s="51">
        <f>G244</f>
        <v>246000</v>
      </c>
      <c r="H243" s="51">
        <f>H244</f>
        <v>256000</v>
      </c>
      <c r="I243" s="51">
        <f>I244</f>
        <v>266000</v>
      </c>
    </row>
    <row r="244" spans="1:9" ht="51">
      <c r="A244" s="12" t="s">
        <v>170</v>
      </c>
      <c r="B244" s="13" t="s">
        <v>17</v>
      </c>
      <c r="C244" s="13" t="s">
        <v>167</v>
      </c>
      <c r="D244" s="13" t="s">
        <v>19</v>
      </c>
      <c r="E244" s="13" t="s">
        <v>175</v>
      </c>
      <c r="F244" s="13" t="s">
        <v>171</v>
      </c>
      <c r="G244" s="23">
        <v>246000</v>
      </c>
      <c r="H244" s="23">
        <v>256000</v>
      </c>
      <c r="I244" s="23">
        <v>266000</v>
      </c>
    </row>
    <row r="245" spans="1:9">
      <c r="A245" s="12" t="s">
        <v>176</v>
      </c>
      <c r="B245" s="13" t="s">
        <v>17</v>
      </c>
      <c r="C245" s="13" t="s">
        <v>167</v>
      </c>
      <c r="D245" s="13" t="s">
        <v>20</v>
      </c>
      <c r="E245" s="13"/>
      <c r="F245" s="13"/>
      <c r="G245" s="51">
        <f>G246+G248+G249+G251+G253+G255+G257+G259+G261+G263</f>
        <v>142757252.33000001</v>
      </c>
      <c r="H245" s="51">
        <f>H246+H249+H255+H257+H259+H261+H263</f>
        <v>115846800</v>
      </c>
      <c r="I245" s="65">
        <f>I246+I249+I255+I257+I259+I261+I263</f>
        <v>115112900</v>
      </c>
    </row>
    <row r="246" spans="1:9" ht="38.25">
      <c r="A246" s="12" t="s">
        <v>177</v>
      </c>
      <c r="B246" s="13" t="s">
        <v>17</v>
      </c>
      <c r="C246" s="13" t="s">
        <v>167</v>
      </c>
      <c r="D246" s="13" t="s">
        <v>20</v>
      </c>
      <c r="E246" s="13" t="s">
        <v>178</v>
      </c>
      <c r="F246" s="13"/>
      <c r="G246" s="51">
        <f>G247</f>
        <v>34960614.810000002</v>
      </c>
      <c r="H246" s="51">
        <f>H247</f>
        <v>37800000</v>
      </c>
      <c r="I246" s="51">
        <f>I247</f>
        <v>34161900</v>
      </c>
    </row>
    <row r="247" spans="1:9" ht="51">
      <c r="A247" s="12" t="s">
        <v>170</v>
      </c>
      <c r="B247" s="13" t="s">
        <v>17</v>
      </c>
      <c r="C247" s="13" t="s">
        <v>167</v>
      </c>
      <c r="D247" s="13" t="s">
        <v>20</v>
      </c>
      <c r="E247" s="13" t="s">
        <v>178</v>
      </c>
      <c r="F247" s="13" t="s">
        <v>171</v>
      </c>
      <c r="G247" s="23">
        <f>32118000+173800+968098+449359.21+156380-300000+614977.6+80000+700000</f>
        <v>34960614.810000002</v>
      </c>
      <c r="H247" s="23">
        <v>37800000</v>
      </c>
      <c r="I247" s="23">
        <v>34161900</v>
      </c>
    </row>
    <row r="248" spans="1:9" ht="75.75" customHeight="1">
      <c r="A248" s="12" t="s">
        <v>433</v>
      </c>
      <c r="B248" s="63" t="s">
        <v>17</v>
      </c>
      <c r="C248" s="63" t="s">
        <v>167</v>
      </c>
      <c r="D248" s="63" t="s">
        <v>20</v>
      </c>
      <c r="E248" s="63" t="s">
        <v>434</v>
      </c>
      <c r="F248" s="63" t="s">
        <v>171</v>
      </c>
      <c r="G248" s="23">
        <v>254536.02</v>
      </c>
      <c r="H248" s="23">
        <v>0</v>
      </c>
      <c r="I248" s="23">
        <v>0</v>
      </c>
    </row>
    <row r="249" spans="1:9" ht="25.5">
      <c r="A249" s="34" t="s">
        <v>319</v>
      </c>
      <c r="B249" s="30" t="s">
        <v>17</v>
      </c>
      <c r="C249" s="30" t="s">
        <v>167</v>
      </c>
      <c r="D249" s="30" t="s">
        <v>20</v>
      </c>
      <c r="E249" s="44" t="s">
        <v>355</v>
      </c>
      <c r="F249" s="31"/>
      <c r="G249" s="51">
        <f>G250</f>
        <v>17688400</v>
      </c>
      <c r="H249" s="51">
        <f>H250+H252</f>
        <v>0</v>
      </c>
      <c r="I249" s="51">
        <f>I250+I252</f>
        <v>0</v>
      </c>
    </row>
    <row r="250" spans="1:9">
      <c r="A250" s="12" t="s">
        <v>37</v>
      </c>
      <c r="B250" s="30" t="s">
        <v>17</v>
      </c>
      <c r="C250" s="30" t="s">
        <v>167</v>
      </c>
      <c r="D250" s="30" t="s">
        <v>20</v>
      </c>
      <c r="E250" s="44" t="s">
        <v>355</v>
      </c>
      <c r="F250" s="44" t="s">
        <v>38</v>
      </c>
      <c r="G250" s="23">
        <v>17688400</v>
      </c>
      <c r="H250" s="23">
        <v>0</v>
      </c>
      <c r="I250" s="23">
        <v>0</v>
      </c>
    </row>
    <row r="251" spans="1:9" ht="38.25">
      <c r="A251" s="34" t="s">
        <v>359</v>
      </c>
      <c r="B251" s="44" t="s">
        <v>17</v>
      </c>
      <c r="C251" s="44" t="s">
        <v>167</v>
      </c>
      <c r="D251" s="44" t="s">
        <v>20</v>
      </c>
      <c r="E251" s="44" t="s">
        <v>356</v>
      </c>
      <c r="F251" s="44"/>
      <c r="G251" s="51">
        <f>G252</f>
        <v>14472301.5</v>
      </c>
      <c r="H251" s="51">
        <v>0</v>
      </c>
      <c r="I251" s="51">
        <v>0</v>
      </c>
    </row>
    <row r="252" spans="1:9">
      <c r="A252" s="12" t="s">
        <v>37</v>
      </c>
      <c r="B252" s="44" t="s">
        <v>17</v>
      </c>
      <c r="C252" s="44" t="s">
        <v>167</v>
      </c>
      <c r="D252" s="44" t="s">
        <v>20</v>
      </c>
      <c r="E252" s="44" t="s">
        <v>356</v>
      </c>
      <c r="F252" s="44" t="s">
        <v>38</v>
      </c>
      <c r="G252" s="23">
        <f>21472300-7000000+1.5</f>
        <v>14472301.5</v>
      </c>
      <c r="H252" s="23">
        <v>0</v>
      </c>
      <c r="I252" s="23">
        <v>0</v>
      </c>
    </row>
    <row r="253" spans="1:9" ht="38.25">
      <c r="A253" s="34" t="s">
        <v>374</v>
      </c>
      <c r="B253" s="44" t="s">
        <v>17</v>
      </c>
      <c r="C253" s="44" t="s">
        <v>167</v>
      </c>
      <c r="D253" s="44" t="s">
        <v>20</v>
      </c>
      <c r="E253" s="44"/>
      <c r="F253" s="44"/>
      <c r="G253" s="51">
        <f>G254</f>
        <v>10000</v>
      </c>
      <c r="H253" s="51">
        <f>H254</f>
        <v>0</v>
      </c>
      <c r="I253" s="51">
        <f>I254</f>
        <v>0</v>
      </c>
    </row>
    <row r="254" spans="1:9">
      <c r="A254" s="12" t="s">
        <v>37</v>
      </c>
      <c r="B254" s="44" t="s">
        <v>17</v>
      </c>
      <c r="C254" s="44" t="s">
        <v>167</v>
      </c>
      <c r="D254" s="44" t="s">
        <v>20</v>
      </c>
      <c r="E254" s="44" t="s">
        <v>375</v>
      </c>
      <c r="F254" s="44" t="s">
        <v>38</v>
      </c>
      <c r="G254" s="23">
        <f>7000000-1.5+1.5-6990000</f>
        <v>10000</v>
      </c>
      <c r="H254" s="23">
        <v>0</v>
      </c>
      <c r="I254" s="23">
        <v>0</v>
      </c>
    </row>
    <row r="255" spans="1:9" ht="39" customHeight="1">
      <c r="A255" s="12" t="s">
        <v>179</v>
      </c>
      <c r="B255" s="13" t="s">
        <v>17</v>
      </c>
      <c r="C255" s="13" t="s">
        <v>167</v>
      </c>
      <c r="D255" s="13" t="s">
        <v>20</v>
      </c>
      <c r="E255" s="63" t="s">
        <v>386</v>
      </c>
      <c r="F255" s="13"/>
      <c r="G255" s="51">
        <f>G256</f>
        <v>4672000</v>
      </c>
      <c r="H255" s="51">
        <f>H256</f>
        <v>4672000</v>
      </c>
      <c r="I255" s="51">
        <f>I256</f>
        <v>4672000</v>
      </c>
    </row>
    <row r="256" spans="1:9">
      <c r="A256" s="12" t="s">
        <v>180</v>
      </c>
      <c r="B256" s="13" t="s">
        <v>17</v>
      </c>
      <c r="C256" s="13" t="s">
        <v>167</v>
      </c>
      <c r="D256" s="13" t="s">
        <v>20</v>
      </c>
      <c r="E256" s="63" t="s">
        <v>386</v>
      </c>
      <c r="F256" s="13" t="s">
        <v>181</v>
      </c>
      <c r="G256" s="23">
        <v>4672000</v>
      </c>
      <c r="H256" s="23">
        <v>4672000</v>
      </c>
      <c r="I256" s="23">
        <v>4672000</v>
      </c>
    </row>
    <row r="257" spans="1:9" ht="76.5">
      <c r="A257" s="12" t="s">
        <v>182</v>
      </c>
      <c r="B257" s="13" t="s">
        <v>17</v>
      </c>
      <c r="C257" s="13" t="s">
        <v>167</v>
      </c>
      <c r="D257" s="13" t="s">
        <v>20</v>
      </c>
      <c r="E257" s="13" t="s">
        <v>183</v>
      </c>
      <c r="F257" s="13"/>
      <c r="G257" s="51">
        <f>G258</f>
        <v>61942800</v>
      </c>
      <c r="H257" s="51">
        <f>H258</f>
        <v>64385000</v>
      </c>
      <c r="I257" s="51">
        <f>I258</f>
        <v>66959000</v>
      </c>
    </row>
    <row r="258" spans="1:9" ht="51">
      <c r="A258" s="12" t="s">
        <v>170</v>
      </c>
      <c r="B258" s="13" t="s">
        <v>17</v>
      </c>
      <c r="C258" s="13" t="s">
        <v>167</v>
      </c>
      <c r="D258" s="13" t="s">
        <v>20</v>
      </c>
      <c r="E258" s="13" t="s">
        <v>183</v>
      </c>
      <c r="F258" s="13" t="s">
        <v>171</v>
      </c>
      <c r="G258" s="23">
        <f>61776000+166800</f>
        <v>61942800</v>
      </c>
      <c r="H258" s="23">
        <v>64385000</v>
      </c>
      <c r="I258" s="23">
        <v>66959000</v>
      </c>
    </row>
    <row r="259" spans="1:9" ht="127.5">
      <c r="A259" s="12" t="s">
        <v>184</v>
      </c>
      <c r="B259" s="13" t="s">
        <v>17</v>
      </c>
      <c r="C259" s="13" t="s">
        <v>167</v>
      </c>
      <c r="D259" s="13" t="s">
        <v>20</v>
      </c>
      <c r="E259" s="13" t="s">
        <v>185</v>
      </c>
      <c r="F259" s="13"/>
      <c r="G259" s="51">
        <f>G260</f>
        <v>2112000</v>
      </c>
      <c r="H259" s="51">
        <f>H260</f>
        <v>2195000</v>
      </c>
      <c r="I259" s="51">
        <f>I260</f>
        <v>2284000</v>
      </c>
    </row>
    <row r="260" spans="1:9" ht="51">
      <c r="A260" s="12" t="s">
        <v>170</v>
      </c>
      <c r="B260" s="13" t="s">
        <v>17</v>
      </c>
      <c r="C260" s="13" t="s">
        <v>167</v>
      </c>
      <c r="D260" s="13" t="s">
        <v>20</v>
      </c>
      <c r="E260" s="13" t="s">
        <v>185</v>
      </c>
      <c r="F260" s="13" t="s">
        <v>171</v>
      </c>
      <c r="G260" s="23">
        <v>2112000</v>
      </c>
      <c r="H260" s="23">
        <v>2195000</v>
      </c>
      <c r="I260" s="23">
        <v>2284000</v>
      </c>
    </row>
    <row r="261" spans="1:9" ht="38.25">
      <c r="A261" s="12" t="s">
        <v>186</v>
      </c>
      <c r="B261" s="13" t="s">
        <v>17</v>
      </c>
      <c r="C261" s="13" t="s">
        <v>167</v>
      </c>
      <c r="D261" s="13" t="s">
        <v>20</v>
      </c>
      <c r="E261" s="13" t="s">
        <v>187</v>
      </c>
      <c r="F261" s="13"/>
      <c r="G261" s="51">
        <f>G262</f>
        <v>3518000</v>
      </c>
      <c r="H261" s="51">
        <f>H262</f>
        <v>3668000</v>
      </c>
      <c r="I261" s="51">
        <f>I262</f>
        <v>3817000</v>
      </c>
    </row>
    <row r="262" spans="1:9" ht="51">
      <c r="A262" s="12" t="s">
        <v>170</v>
      </c>
      <c r="B262" s="13" t="s">
        <v>17</v>
      </c>
      <c r="C262" s="13" t="s">
        <v>167</v>
      </c>
      <c r="D262" s="13" t="s">
        <v>20</v>
      </c>
      <c r="E262" s="13" t="s">
        <v>187</v>
      </c>
      <c r="F262" s="13" t="s">
        <v>171</v>
      </c>
      <c r="G262" s="23">
        <f>3564000-46000-270000+270000</f>
        <v>3518000</v>
      </c>
      <c r="H262" s="23">
        <v>3668000</v>
      </c>
      <c r="I262" s="23">
        <v>3817000</v>
      </c>
    </row>
    <row r="263" spans="1:9" ht="51">
      <c r="A263" s="12" t="s">
        <v>188</v>
      </c>
      <c r="B263" s="13" t="s">
        <v>17</v>
      </c>
      <c r="C263" s="13" t="s">
        <v>167</v>
      </c>
      <c r="D263" s="13" t="s">
        <v>20</v>
      </c>
      <c r="E263" s="43" t="s">
        <v>339</v>
      </c>
      <c r="F263" s="13"/>
      <c r="G263" s="51">
        <f>G264</f>
        <v>3126600</v>
      </c>
      <c r="H263" s="51">
        <f>H264</f>
        <v>3126800</v>
      </c>
      <c r="I263" s="51">
        <f>I264</f>
        <v>3219000</v>
      </c>
    </row>
    <row r="264" spans="1:9">
      <c r="A264" s="12" t="s">
        <v>180</v>
      </c>
      <c r="B264" s="13" t="s">
        <v>17</v>
      </c>
      <c r="C264" s="13" t="s">
        <v>167</v>
      </c>
      <c r="D264" s="13" t="s">
        <v>20</v>
      </c>
      <c r="E264" s="43" t="s">
        <v>339</v>
      </c>
      <c r="F264" s="13" t="s">
        <v>181</v>
      </c>
      <c r="G264" s="23">
        <v>3126600</v>
      </c>
      <c r="H264" s="23">
        <v>3126800</v>
      </c>
      <c r="I264" s="23">
        <v>3219000</v>
      </c>
    </row>
    <row r="265" spans="1:9">
      <c r="A265" s="12" t="s">
        <v>189</v>
      </c>
      <c r="B265" s="13" t="s">
        <v>17</v>
      </c>
      <c r="C265" s="13" t="s">
        <v>167</v>
      </c>
      <c r="D265" s="13" t="s">
        <v>72</v>
      </c>
      <c r="E265" s="13"/>
      <c r="F265" s="13"/>
      <c r="G265" s="51">
        <f>G266+G268</f>
        <v>8822798.7100000009</v>
      </c>
      <c r="H265" s="51">
        <f t="shared" ref="G265:I266" si="4">H266</f>
        <v>9000000</v>
      </c>
      <c r="I265" s="65">
        <f t="shared" si="4"/>
        <v>9099400</v>
      </c>
    </row>
    <row r="266" spans="1:9" ht="38.25">
      <c r="A266" s="12" t="s">
        <v>190</v>
      </c>
      <c r="B266" s="13" t="s">
        <v>17</v>
      </c>
      <c r="C266" s="13" t="s">
        <v>167</v>
      </c>
      <c r="D266" s="13" t="s">
        <v>72</v>
      </c>
      <c r="E266" s="13" t="s">
        <v>191</v>
      </c>
      <c r="F266" s="13"/>
      <c r="G266" s="51">
        <f t="shared" si="4"/>
        <v>8756900</v>
      </c>
      <c r="H266" s="51">
        <f t="shared" si="4"/>
        <v>9000000</v>
      </c>
      <c r="I266" s="51">
        <f t="shared" si="4"/>
        <v>9099400</v>
      </c>
    </row>
    <row r="267" spans="1:9" ht="51">
      <c r="A267" s="12" t="s">
        <v>170</v>
      </c>
      <c r="B267" s="13" t="s">
        <v>17</v>
      </c>
      <c r="C267" s="13" t="s">
        <v>167</v>
      </c>
      <c r="D267" s="13" t="s">
        <v>72</v>
      </c>
      <c r="E267" s="13" t="s">
        <v>191</v>
      </c>
      <c r="F267" s="13" t="s">
        <v>171</v>
      </c>
      <c r="G267" s="23">
        <f>8794900-38000</f>
        <v>8756900</v>
      </c>
      <c r="H267" s="23">
        <v>9000000</v>
      </c>
      <c r="I267" s="23">
        <v>9099400</v>
      </c>
    </row>
    <row r="268" spans="1:9" ht="81.75" customHeight="1">
      <c r="A268" s="12" t="s">
        <v>435</v>
      </c>
      <c r="B268" s="63" t="s">
        <v>17</v>
      </c>
      <c r="C268" s="63" t="s">
        <v>167</v>
      </c>
      <c r="D268" s="63" t="s">
        <v>72</v>
      </c>
      <c r="E268" s="63" t="s">
        <v>436</v>
      </c>
      <c r="F268" s="63" t="s">
        <v>171</v>
      </c>
      <c r="G268" s="23">
        <v>65898.710000000006</v>
      </c>
      <c r="H268" s="23">
        <v>0</v>
      </c>
      <c r="I268" s="23">
        <v>0</v>
      </c>
    </row>
    <row r="269" spans="1:9">
      <c r="A269" s="12" t="s">
        <v>192</v>
      </c>
      <c r="B269" s="13" t="s">
        <v>17</v>
      </c>
      <c r="C269" s="13" t="s">
        <v>167</v>
      </c>
      <c r="D269" s="13" t="s">
        <v>167</v>
      </c>
      <c r="E269" s="13"/>
      <c r="F269" s="13"/>
      <c r="G269" s="51">
        <f>G270+G272+G274+G276+G278</f>
        <v>88600</v>
      </c>
      <c r="H269" s="51">
        <f>H270+H272+H274+H276+H278</f>
        <v>60600</v>
      </c>
      <c r="I269" s="65">
        <f>I270+I272+I274+I276+I278</f>
        <v>62200</v>
      </c>
    </row>
    <row r="270" spans="1:9" ht="102">
      <c r="A270" s="12" t="s">
        <v>193</v>
      </c>
      <c r="B270" s="40" t="s">
        <v>17</v>
      </c>
      <c r="C270" s="40" t="s">
        <v>167</v>
      </c>
      <c r="D270" s="40" t="s">
        <v>167</v>
      </c>
      <c r="E270" s="40" t="s">
        <v>194</v>
      </c>
      <c r="F270" s="40"/>
      <c r="G270" s="51">
        <f>G271</f>
        <v>45000</v>
      </c>
      <c r="H270" s="51">
        <f>H271</f>
        <v>0</v>
      </c>
      <c r="I270" s="51">
        <f>I271</f>
        <v>0</v>
      </c>
    </row>
    <row r="271" spans="1:9">
      <c r="A271" s="12" t="s">
        <v>37</v>
      </c>
      <c r="B271" s="40" t="s">
        <v>17</v>
      </c>
      <c r="C271" s="40" t="s">
        <v>167</v>
      </c>
      <c r="D271" s="40" t="s">
        <v>167</v>
      </c>
      <c r="E271" s="40" t="s">
        <v>194</v>
      </c>
      <c r="F271" s="40" t="s">
        <v>171</v>
      </c>
      <c r="G271" s="23">
        <f>50000-5000</f>
        <v>45000</v>
      </c>
      <c r="H271" s="23">
        <v>0</v>
      </c>
      <c r="I271" s="23">
        <v>0</v>
      </c>
    </row>
    <row r="272" spans="1:9" ht="38.25">
      <c r="A272" s="12" t="s">
        <v>202</v>
      </c>
      <c r="B272" s="13" t="s">
        <v>17</v>
      </c>
      <c r="C272" s="13" t="s">
        <v>167</v>
      </c>
      <c r="D272" s="13" t="s">
        <v>167</v>
      </c>
      <c r="E272" s="13" t="s">
        <v>203</v>
      </c>
      <c r="F272" s="13"/>
      <c r="G272" s="51">
        <f>G273</f>
        <v>19300</v>
      </c>
      <c r="H272" s="51">
        <f>H273</f>
        <v>14000</v>
      </c>
      <c r="I272" s="51">
        <f>I273</f>
        <v>14300</v>
      </c>
    </row>
    <row r="273" spans="1:13">
      <c r="A273" s="12" t="s">
        <v>37</v>
      </c>
      <c r="B273" s="13" t="s">
        <v>17</v>
      </c>
      <c r="C273" s="13" t="s">
        <v>167</v>
      </c>
      <c r="D273" s="13" t="s">
        <v>167</v>
      </c>
      <c r="E273" s="13" t="s">
        <v>203</v>
      </c>
      <c r="F273" s="13" t="s">
        <v>38</v>
      </c>
      <c r="G273" s="23">
        <f>2500+16800</f>
        <v>19300</v>
      </c>
      <c r="H273" s="23">
        <v>14000</v>
      </c>
      <c r="I273" s="23">
        <v>14300</v>
      </c>
    </row>
    <row r="274" spans="1:13" ht="25.5">
      <c r="A274" s="12" t="s">
        <v>204</v>
      </c>
      <c r="B274" s="13" t="s">
        <v>17</v>
      </c>
      <c r="C274" s="13" t="s">
        <v>167</v>
      </c>
      <c r="D274" s="13" t="s">
        <v>167</v>
      </c>
      <c r="E274" s="13" t="s">
        <v>205</v>
      </c>
      <c r="F274" s="13"/>
      <c r="G274" s="51">
        <f>G275</f>
        <v>21800</v>
      </c>
      <c r="H274" s="51">
        <f>H275</f>
        <v>20400</v>
      </c>
      <c r="I274" s="51">
        <f>I275</f>
        <v>20900</v>
      </c>
    </row>
    <row r="275" spans="1:13">
      <c r="A275" s="12" t="s">
        <v>37</v>
      </c>
      <c r="B275" s="13" t="s">
        <v>17</v>
      </c>
      <c r="C275" s="13" t="s">
        <v>167</v>
      </c>
      <c r="D275" s="13" t="s">
        <v>167</v>
      </c>
      <c r="E275" s="13" t="s">
        <v>205</v>
      </c>
      <c r="F275" s="13" t="s">
        <v>38</v>
      </c>
      <c r="G275" s="23">
        <f>2500+19300</f>
        <v>21800</v>
      </c>
      <c r="H275" s="23">
        <v>20400</v>
      </c>
      <c r="I275" s="23">
        <v>20900</v>
      </c>
    </row>
    <row r="276" spans="1:13" ht="38.25">
      <c r="A276" s="12" t="s">
        <v>206</v>
      </c>
      <c r="B276" s="13" t="s">
        <v>17</v>
      </c>
      <c r="C276" s="13" t="s">
        <v>167</v>
      </c>
      <c r="D276" s="13" t="s">
        <v>167</v>
      </c>
      <c r="E276" s="13" t="s">
        <v>207</v>
      </c>
      <c r="F276" s="13"/>
      <c r="G276" s="51">
        <f>G277</f>
        <v>2500</v>
      </c>
      <c r="H276" s="51">
        <f>H277</f>
        <v>16200</v>
      </c>
      <c r="I276" s="51">
        <f>I277</f>
        <v>17000</v>
      </c>
    </row>
    <row r="277" spans="1:13">
      <c r="A277" s="12" t="s">
        <v>37</v>
      </c>
      <c r="B277" s="13" t="s">
        <v>17</v>
      </c>
      <c r="C277" s="13" t="s">
        <v>167</v>
      </c>
      <c r="D277" s="13" t="s">
        <v>167</v>
      </c>
      <c r="E277" s="13" t="s">
        <v>207</v>
      </c>
      <c r="F277" s="13" t="s">
        <v>38</v>
      </c>
      <c r="G277" s="23">
        <v>2500</v>
      </c>
      <c r="H277" s="23">
        <v>16200</v>
      </c>
      <c r="I277" s="23">
        <v>17000</v>
      </c>
    </row>
    <row r="278" spans="1:13" ht="38.25">
      <c r="A278" s="12" t="s">
        <v>208</v>
      </c>
      <c r="B278" s="13" t="s">
        <v>17</v>
      </c>
      <c r="C278" s="13" t="s">
        <v>167</v>
      </c>
      <c r="D278" s="13" t="s">
        <v>167</v>
      </c>
      <c r="E278" s="13" t="s">
        <v>209</v>
      </c>
      <c r="F278" s="13"/>
      <c r="G278" s="51">
        <f>G279</f>
        <v>0</v>
      </c>
      <c r="H278" s="51">
        <f>H279</f>
        <v>10000</v>
      </c>
      <c r="I278" s="51">
        <f>I279</f>
        <v>10000</v>
      </c>
    </row>
    <row r="279" spans="1:13">
      <c r="A279" s="12" t="s">
        <v>37</v>
      </c>
      <c r="B279" s="13" t="s">
        <v>17</v>
      </c>
      <c r="C279" s="13" t="s">
        <v>167</v>
      </c>
      <c r="D279" s="13" t="s">
        <v>167</v>
      </c>
      <c r="E279" s="13" t="s">
        <v>209</v>
      </c>
      <c r="F279" s="13" t="s">
        <v>38</v>
      </c>
      <c r="G279" s="23">
        <v>0</v>
      </c>
      <c r="H279" s="23">
        <v>10000</v>
      </c>
      <c r="I279" s="23">
        <v>10000</v>
      </c>
    </row>
    <row r="280" spans="1:13">
      <c r="A280" s="12" t="s">
        <v>210</v>
      </c>
      <c r="B280" s="13" t="s">
        <v>17</v>
      </c>
      <c r="C280" s="13" t="s">
        <v>167</v>
      </c>
      <c r="D280" s="13" t="s">
        <v>76</v>
      </c>
      <c r="E280" s="13"/>
      <c r="F280" s="13"/>
      <c r="G280" s="51">
        <f>G281+G283+G285+G288+G291+G295+G299+G301+G303+G305+G307+G309+G311+G313+G315+G317+G320+G322</f>
        <v>6449589.4100000001</v>
      </c>
      <c r="H280" s="51">
        <f>H281+H283+H285+H288+H291+H295+H301+H303+H305+H307+H309+H311+H313+H315+H317</f>
        <v>4485500</v>
      </c>
      <c r="I280" s="65">
        <f>I281+I283+I285+I288+I291+I295+I301+I303+I305+I307+I309+I311+I313+I315+I317</f>
        <v>4660500</v>
      </c>
    </row>
    <row r="281" spans="1:13" ht="38.25">
      <c r="A281" s="12" t="s">
        <v>211</v>
      </c>
      <c r="B281" s="13" t="s">
        <v>17</v>
      </c>
      <c r="C281" s="13" t="s">
        <v>167</v>
      </c>
      <c r="D281" s="13" t="s">
        <v>76</v>
      </c>
      <c r="E281" s="13" t="s">
        <v>212</v>
      </c>
      <c r="F281" s="13"/>
      <c r="G281" s="51">
        <f>G282</f>
        <v>2500</v>
      </c>
      <c r="H281" s="51">
        <f>H282</f>
        <v>19400</v>
      </c>
      <c r="I281" s="51">
        <f>I282</f>
        <v>20100</v>
      </c>
    </row>
    <row r="282" spans="1:13">
      <c r="A282" s="12" t="s">
        <v>37</v>
      </c>
      <c r="B282" s="13" t="s">
        <v>17</v>
      </c>
      <c r="C282" s="13" t="s">
        <v>167</v>
      </c>
      <c r="D282" s="13" t="s">
        <v>76</v>
      </c>
      <c r="E282" s="13" t="s">
        <v>212</v>
      </c>
      <c r="F282" s="13" t="s">
        <v>38</v>
      </c>
      <c r="G282" s="23">
        <v>2500</v>
      </c>
      <c r="H282" s="23">
        <v>19400</v>
      </c>
      <c r="I282" s="23">
        <v>20100</v>
      </c>
    </row>
    <row r="283" spans="1:13" ht="51">
      <c r="A283" s="12" t="s">
        <v>213</v>
      </c>
      <c r="B283" s="13" t="s">
        <v>17</v>
      </c>
      <c r="C283" s="13" t="s">
        <v>167</v>
      </c>
      <c r="D283" s="13" t="s">
        <v>76</v>
      </c>
      <c r="E283" s="13" t="s">
        <v>214</v>
      </c>
      <c r="F283" s="13"/>
      <c r="G283" s="51">
        <f>G284</f>
        <v>0</v>
      </c>
      <c r="H283" s="51">
        <f>H284</f>
        <v>2600</v>
      </c>
      <c r="I283" s="51">
        <f>I284</f>
        <v>2600</v>
      </c>
    </row>
    <row r="284" spans="1:13">
      <c r="A284" s="12" t="s">
        <v>37</v>
      </c>
      <c r="B284" s="13" t="s">
        <v>17</v>
      </c>
      <c r="C284" s="13" t="s">
        <v>167</v>
      </c>
      <c r="D284" s="13" t="s">
        <v>76</v>
      </c>
      <c r="E284" s="13" t="s">
        <v>214</v>
      </c>
      <c r="F284" s="13" t="s">
        <v>38</v>
      </c>
      <c r="G284" s="23">
        <f>2000-2000</f>
        <v>0</v>
      </c>
      <c r="H284" s="23">
        <v>2600</v>
      </c>
      <c r="I284" s="23">
        <v>2600</v>
      </c>
      <c r="M284" s="1" t="s">
        <v>309</v>
      </c>
    </row>
    <row r="285" spans="1:13" ht="76.5">
      <c r="A285" s="12" t="s">
        <v>196</v>
      </c>
      <c r="B285" s="63" t="s">
        <v>17</v>
      </c>
      <c r="C285" s="63" t="s">
        <v>167</v>
      </c>
      <c r="D285" s="63" t="s">
        <v>76</v>
      </c>
      <c r="E285" s="63" t="s">
        <v>197</v>
      </c>
      <c r="F285" s="63"/>
      <c r="G285" s="51">
        <f>G286+G287</f>
        <v>211400</v>
      </c>
      <c r="H285" s="51">
        <f>H286+H287</f>
        <v>219800</v>
      </c>
      <c r="I285" s="51">
        <f>I286+I287</f>
        <v>228600</v>
      </c>
    </row>
    <row r="286" spans="1:13">
      <c r="A286" s="12" t="s">
        <v>37</v>
      </c>
      <c r="B286" s="30" t="s">
        <v>17</v>
      </c>
      <c r="C286" s="30" t="s">
        <v>167</v>
      </c>
      <c r="D286" s="44" t="s">
        <v>76</v>
      </c>
      <c r="E286" s="30" t="s">
        <v>197</v>
      </c>
      <c r="F286" s="30" t="s">
        <v>38</v>
      </c>
      <c r="G286" s="23">
        <f>12000-40</f>
        <v>11960</v>
      </c>
      <c r="H286" s="23">
        <v>12400</v>
      </c>
      <c r="I286" s="23">
        <v>12900</v>
      </c>
    </row>
    <row r="287" spans="1:13" ht="51">
      <c r="A287" s="12" t="s">
        <v>170</v>
      </c>
      <c r="B287" s="63" t="s">
        <v>17</v>
      </c>
      <c r="C287" s="63" t="s">
        <v>167</v>
      </c>
      <c r="D287" s="63" t="s">
        <v>76</v>
      </c>
      <c r="E287" s="43" t="s">
        <v>197</v>
      </c>
      <c r="F287" s="63" t="s">
        <v>171</v>
      </c>
      <c r="G287" s="23">
        <f>199400+40</f>
        <v>199440</v>
      </c>
      <c r="H287" s="23">
        <v>207400</v>
      </c>
      <c r="I287" s="23">
        <v>215700</v>
      </c>
    </row>
    <row r="288" spans="1:13" ht="38.25">
      <c r="A288" s="12" t="s">
        <v>198</v>
      </c>
      <c r="B288" s="63" t="s">
        <v>17</v>
      </c>
      <c r="C288" s="63" t="s">
        <v>167</v>
      </c>
      <c r="D288" s="63" t="s">
        <v>76</v>
      </c>
      <c r="E288" s="63" t="s">
        <v>199</v>
      </c>
      <c r="F288" s="63"/>
      <c r="G288" s="51">
        <f>G289+G290</f>
        <v>1720300</v>
      </c>
      <c r="H288" s="51">
        <f>H289+H290</f>
        <v>1789100</v>
      </c>
      <c r="I288" s="51">
        <f>I289+I290</f>
        <v>1860700</v>
      </c>
    </row>
    <row r="289" spans="1:13">
      <c r="A289" s="12" t="s">
        <v>37</v>
      </c>
      <c r="B289" s="63" t="s">
        <v>17</v>
      </c>
      <c r="C289" s="63" t="s">
        <v>167</v>
      </c>
      <c r="D289" s="63" t="s">
        <v>76</v>
      </c>
      <c r="E289" s="63" t="s">
        <v>199</v>
      </c>
      <c r="F289" s="63" t="s">
        <v>38</v>
      </c>
      <c r="G289" s="23">
        <f>891700-45000+45000</f>
        <v>891700</v>
      </c>
      <c r="H289" s="23">
        <v>927300</v>
      </c>
      <c r="I289" s="23">
        <v>964500</v>
      </c>
    </row>
    <row r="290" spans="1:13" ht="51">
      <c r="A290" s="12" t="s">
        <v>170</v>
      </c>
      <c r="B290" s="63" t="s">
        <v>17</v>
      </c>
      <c r="C290" s="63" t="s">
        <v>167</v>
      </c>
      <c r="D290" s="63" t="s">
        <v>76</v>
      </c>
      <c r="E290" s="63" t="s">
        <v>199</v>
      </c>
      <c r="F290" s="63" t="s">
        <v>171</v>
      </c>
      <c r="G290" s="23">
        <v>828600</v>
      </c>
      <c r="H290" s="23">
        <v>861800</v>
      </c>
      <c r="I290" s="23">
        <v>896200</v>
      </c>
    </row>
    <row r="291" spans="1:13" ht="38.25">
      <c r="A291" s="12" t="s">
        <v>200</v>
      </c>
      <c r="B291" s="63" t="s">
        <v>17</v>
      </c>
      <c r="C291" s="63" t="s">
        <v>167</v>
      </c>
      <c r="D291" s="63" t="s">
        <v>76</v>
      </c>
      <c r="E291" s="63" t="s">
        <v>201</v>
      </c>
      <c r="F291" s="63"/>
      <c r="G291" s="51">
        <f>G292+G293+G294</f>
        <v>2506889.41</v>
      </c>
      <c r="H291" s="51">
        <f>H292+H293</f>
        <v>1786200</v>
      </c>
      <c r="I291" s="51">
        <f>I292+I293</f>
        <v>1857900</v>
      </c>
    </row>
    <row r="292" spans="1:13">
      <c r="A292" s="12" t="s">
        <v>37</v>
      </c>
      <c r="B292" s="63" t="s">
        <v>17</v>
      </c>
      <c r="C292" s="63" t="s">
        <v>167</v>
      </c>
      <c r="D292" s="63" t="s">
        <v>76</v>
      </c>
      <c r="E292" s="63" t="s">
        <v>201</v>
      </c>
      <c r="F292" s="63" t="s">
        <v>38</v>
      </c>
      <c r="G292" s="23">
        <f>802400+552442+76800</f>
        <v>1431642</v>
      </c>
      <c r="H292" s="23">
        <v>969400</v>
      </c>
      <c r="I292" s="23">
        <v>1007900</v>
      </c>
    </row>
    <row r="293" spans="1:13" ht="51">
      <c r="A293" s="12" t="s">
        <v>170</v>
      </c>
      <c r="B293" s="63" t="s">
        <v>17</v>
      </c>
      <c r="C293" s="63" t="s">
        <v>167</v>
      </c>
      <c r="D293" s="63" t="s">
        <v>76</v>
      </c>
      <c r="E293" s="63" t="s">
        <v>201</v>
      </c>
      <c r="F293" s="63" t="s">
        <v>171</v>
      </c>
      <c r="G293" s="23">
        <f>916000+95000</f>
        <v>1011000</v>
      </c>
      <c r="H293" s="23">
        <v>816800</v>
      </c>
      <c r="I293" s="23">
        <v>850000</v>
      </c>
    </row>
    <row r="294" spans="1:13">
      <c r="A294" s="12" t="s">
        <v>336</v>
      </c>
      <c r="B294" s="63" t="s">
        <v>17</v>
      </c>
      <c r="C294" s="63" t="s">
        <v>167</v>
      </c>
      <c r="D294" s="63" t="s">
        <v>76</v>
      </c>
      <c r="E294" s="63" t="s">
        <v>201</v>
      </c>
      <c r="F294" s="63" t="s">
        <v>337</v>
      </c>
      <c r="G294" s="23">
        <v>64247.41</v>
      </c>
      <c r="H294" s="23">
        <v>0</v>
      </c>
      <c r="I294" s="23">
        <v>0</v>
      </c>
    </row>
    <row r="295" spans="1:13" ht="38.25">
      <c r="A295" s="12" t="s">
        <v>215</v>
      </c>
      <c r="B295" s="13" t="s">
        <v>17</v>
      </c>
      <c r="C295" s="13" t="s">
        <v>167</v>
      </c>
      <c r="D295" s="13" t="s">
        <v>76</v>
      </c>
      <c r="E295" s="13" t="s">
        <v>216</v>
      </c>
      <c r="F295" s="13"/>
      <c r="G295" s="51">
        <f>G296</f>
        <v>60000</v>
      </c>
      <c r="H295" s="51">
        <f>H296</f>
        <v>60000</v>
      </c>
      <c r="I295" s="51">
        <f>I296</f>
        <v>60000</v>
      </c>
    </row>
    <row r="296" spans="1:13">
      <c r="A296" s="12" t="s">
        <v>217</v>
      </c>
      <c r="B296" s="13" t="s">
        <v>17</v>
      </c>
      <c r="C296" s="13" t="s">
        <v>167</v>
      </c>
      <c r="D296" s="13" t="s">
        <v>76</v>
      </c>
      <c r="E296" s="13" t="s">
        <v>216</v>
      </c>
      <c r="F296" s="13" t="s">
        <v>218</v>
      </c>
      <c r="G296" s="23">
        <v>60000</v>
      </c>
      <c r="H296" s="23">
        <v>60000</v>
      </c>
      <c r="I296" s="23">
        <v>60000</v>
      </c>
    </row>
    <row r="297" spans="1:13" ht="51">
      <c r="A297" s="12" t="s">
        <v>380</v>
      </c>
      <c r="B297" s="63" t="s">
        <v>17</v>
      </c>
      <c r="C297" s="63" t="s">
        <v>167</v>
      </c>
      <c r="D297" s="63" t="s">
        <v>76</v>
      </c>
      <c r="E297" s="43" t="s">
        <v>383</v>
      </c>
      <c r="F297" s="63"/>
      <c r="G297" s="51">
        <f>G298</f>
        <v>0</v>
      </c>
      <c r="H297" s="23">
        <v>0</v>
      </c>
      <c r="I297" s="23">
        <v>0</v>
      </c>
    </row>
    <row r="298" spans="1:13">
      <c r="A298" s="12" t="s">
        <v>381</v>
      </c>
      <c r="B298" s="63" t="s">
        <v>17</v>
      </c>
      <c r="C298" s="63" t="s">
        <v>167</v>
      </c>
      <c r="D298" s="63" t="s">
        <v>76</v>
      </c>
      <c r="E298" s="43" t="s">
        <v>383</v>
      </c>
      <c r="F298" s="63" t="s">
        <v>181</v>
      </c>
      <c r="G298" s="23">
        <v>0</v>
      </c>
      <c r="H298" s="23">
        <v>0</v>
      </c>
      <c r="I298" s="23">
        <v>0</v>
      </c>
    </row>
    <row r="299" spans="1:13" ht="51">
      <c r="A299" s="12" t="s">
        <v>380</v>
      </c>
      <c r="B299" s="63" t="s">
        <v>17</v>
      </c>
      <c r="C299" s="63" t="s">
        <v>167</v>
      </c>
      <c r="D299" s="63" t="s">
        <v>76</v>
      </c>
      <c r="E299" s="43" t="s">
        <v>382</v>
      </c>
      <c r="F299" s="63"/>
      <c r="G299" s="51">
        <f>G300</f>
        <v>1030300</v>
      </c>
      <c r="H299" s="23">
        <v>0</v>
      </c>
      <c r="I299" s="23">
        <v>0</v>
      </c>
    </row>
    <row r="300" spans="1:13">
      <c r="A300" s="12" t="s">
        <v>381</v>
      </c>
      <c r="B300" s="63" t="s">
        <v>17</v>
      </c>
      <c r="C300" s="63" t="s">
        <v>167</v>
      </c>
      <c r="D300" s="63" t="s">
        <v>76</v>
      </c>
      <c r="E300" s="43" t="s">
        <v>382</v>
      </c>
      <c r="F300" s="63" t="s">
        <v>181</v>
      </c>
      <c r="G300" s="23">
        <v>1030300</v>
      </c>
      <c r="H300" s="23">
        <v>0</v>
      </c>
      <c r="I300" s="23">
        <v>0</v>
      </c>
      <c r="M300" s="1" t="s">
        <v>309</v>
      </c>
    </row>
    <row r="301" spans="1:13" ht="51">
      <c r="A301" s="12" t="s">
        <v>219</v>
      </c>
      <c r="B301" s="63" t="s">
        <v>17</v>
      </c>
      <c r="C301" s="63" t="s">
        <v>167</v>
      </c>
      <c r="D301" s="13" t="s">
        <v>76</v>
      </c>
      <c r="E301" s="13" t="s">
        <v>220</v>
      </c>
      <c r="F301" s="13"/>
      <c r="G301" s="51">
        <f>G302</f>
        <v>1500</v>
      </c>
      <c r="H301" s="51">
        <f>H302</f>
        <v>10800</v>
      </c>
      <c r="I301" s="51">
        <f>I302</f>
        <v>11500</v>
      </c>
      <c r="J301" s="54"/>
    </row>
    <row r="302" spans="1:13">
      <c r="A302" s="12" t="s">
        <v>37</v>
      </c>
      <c r="B302" s="13" t="s">
        <v>17</v>
      </c>
      <c r="C302" s="13" t="s">
        <v>167</v>
      </c>
      <c r="D302" s="13" t="s">
        <v>76</v>
      </c>
      <c r="E302" s="13" t="s">
        <v>220</v>
      </c>
      <c r="F302" s="13" t="s">
        <v>38</v>
      </c>
      <c r="G302" s="23">
        <v>1500</v>
      </c>
      <c r="H302" s="23">
        <v>10800</v>
      </c>
      <c r="I302" s="23">
        <v>11500</v>
      </c>
    </row>
    <row r="303" spans="1:13" ht="25.5">
      <c r="A303" s="12" t="s">
        <v>221</v>
      </c>
      <c r="B303" s="13" t="s">
        <v>17</v>
      </c>
      <c r="C303" s="13" t="s">
        <v>167</v>
      </c>
      <c r="D303" s="13" t="s">
        <v>76</v>
      </c>
      <c r="E303" s="13" t="s">
        <v>222</v>
      </c>
      <c r="F303" s="13"/>
      <c r="G303" s="51">
        <f>G304</f>
        <v>1000</v>
      </c>
      <c r="H303" s="51">
        <f>H304</f>
        <v>11200</v>
      </c>
      <c r="I303" s="51">
        <f>I304</f>
        <v>11200</v>
      </c>
    </row>
    <row r="304" spans="1:13">
      <c r="A304" s="12" t="s">
        <v>37</v>
      </c>
      <c r="B304" s="13" t="s">
        <v>17</v>
      </c>
      <c r="C304" s="13" t="s">
        <v>167</v>
      </c>
      <c r="D304" s="13" t="s">
        <v>76</v>
      </c>
      <c r="E304" s="13" t="s">
        <v>222</v>
      </c>
      <c r="F304" s="13" t="s">
        <v>38</v>
      </c>
      <c r="G304" s="23">
        <v>1000</v>
      </c>
      <c r="H304" s="23">
        <v>11200</v>
      </c>
      <c r="I304" s="23">
        <v>11200</v>
      </c>
    </row>
    <row r="305" spans="1:12" ht="25.5">
      <c r="A305" s="12" t="s">
        <v>223</v>
      </c>
      <c r="B305" s="13" t="s">
        <v>17</v>
      </c>
      <c r="C305" s="13" t="s">
        <v>167</v>
      </c>
      <c r="D305" s="13" t="s">
        <v>76</v>
      </c>
      <c r="E305" s="13" t="s">
        <v>224</v>
      </c>
      <c r="F305" s="13"/>
      <c r="G305" s="51">
        <f>G306</f>
        <v>2300</v>
      </c>
      <c r="H305" s="51">
        <f>H306</f>
        <v>2300</v>
      </c>
      <c r="I305" s="51">
        <f>I306</f>
        <v>2500</v>
      </c>
    </row>
    <row r="306" spans="1:12">
      <c r="A306" s="12" t="s">
        <v>37</v>
      </c>
      <c r="B306" s="13" t="s">
        <v>17</v>
      </c>
      <c r="C306" s="13" t="s">
        <v>167</v>
      </c>
      <c r="D306" s="13" t="s">
        <v>76</v>
      </c>
      <c r="E306" s="13" t="s">
        <v>224</v>
      </c>
      <c r="F306" s="13" t="s">
        <v>38</v>
      </c>
      <c r="G306" s="23">
        <v>2300</v>
      </c>
      <c r="H306" s="23">
        <v>2300</v>
      </c>
      <c r="I306" s="23">
        <v>2500</v>
      </c>
    </row>
    <row r="307" spans="1:12" ht="51">
      <c r="A307" s="12" t="s">
        <v>225</v>
      </c>
      <c r="B307" s="13" t="s">
        <v>17</v>
      </c>
      <c r="C307" s="13" t="s">
        <v>167</v>
      </c>
      <c r="D307" s="13" t="s">
        <v>76</v>
      </c>
      <c r="E307" s="13" t="s">
        <v>226</v>
      </c>
      <c r="F307" s="13"/>
      <c r="G307" s="51">
        <f>G308</f>
        <v>2700</v>
      </c>
      <c r="H307" s="51">
        <f>H308</f>
        <v>6400</v>
      </c>
      <c r="I307" s="51">
        <f>I308</f>
        <v>6400</v>
      </c>
    </row>
    <row r="308" spans="1:12">
      <c r="A308" s="12" t="s">
        <v>37</v>
      </c>
      <c r="B308" s="13" t="s">
        <v>17</v>
      </c>
      <c r="C308" s="13" t="s">
        <v>167</v>
      </c>
      <c r="D308" s="13" t="s">
        <v>76</v>
      </c>
      <c r="E308" s="13" t="s">
        <v>226</v>
      </c>
      <c r="F308" s="13" t="s">
        <v>38</v>
      </c>
      <c r="G308" s="23">
        <v>2700</v>
      </c>
      <c r="H308" s="23">
        <v>6400</v>
      </c>
      <c r="I308" s="23">
        <v>6400</v>
      </c>
    </row>
    <row r="309" spans="1:12" ht="38.25">
      <c r="A309" s="12" t="s">
        <v>202</v>
      </c>
      <c r="B309" s="13" t="s">
        <v>17</v>
      </c>
      <c r="C309" s="13" t="s">
        <v>167</v>
      </c>
      <c r="D309" s="13" t="s">
        <v>76</v>
      </c>
      <c r="E309" s="13" t="s">
        <v>203</v>
      </c>
      <c r="F309" s="13"/>
      <c r="G309" s="51">
        <f>G310</f>
        <v>0</v>
      </c>
      <c r="H309" s="51">
        <f>H310</f>
        <v>5300</v>
      </c>
      <c r="I309" s="51">
        <f>I310</f>
        <v>5500</v>
      </c>
    </row>
    <row r="310" spans="1:12">
      <c r="A310" s="12" t="s">
        <v>37</v>
      </c>
      <c r="B310" s="13" t="s">
        <v>17</v>
      </c>
      <c r="C310" s="13" t="s">
        <v>167</v>
      </c>
      <c r="D310" s="13" t="s">
        <v>76</v>
      </c>
      <c r="E310" s="13" t="s">
        <v>203</v>
      </c>
      <c r="F310" s="13" t="s">
        <v>38</v>
      </c>
      <c r="G310" s="23">
        <v>0</v>
      </c>
      <c r="H310" s="23">
        <v>5300</v>
      </c>
      <c r="I310" s="23">
        <v>5500</v>
      </c>
    </row>
    <row r="311" spans="1:12" ht="37.5" customHeight="1">
      <c r="A311" s="33" t="s">
        <v>325</v>
      </c>
      <c r="B311" s="13" t="s">
        <v>17</v>
      </c>
      <c r="C311" s="13" t="s">
        <v>167</v>
      </c>
      <c r="D311" s="13" t="s">
        <v>76</v>
      </c>
      <c r="E311" s="13" t="s">
        <v>227</v>
      </c>
      <c r="F311" s="13"/>
      <c r="G311" s="51">
        <f>G312</f>
        <v>0</v>
      </c>
      <c r="H311" s="51">
        <f>H312</f>
        <v>20800</v>
      </c>
      <c r="I311" s="51">
        <f>I312</f>
        <v>21600</v>
      </c>
    </row>
    <row r="312" spans="1:12">
      <c r="A312" s="12" t="s">
        <v>37</v>
      </c>
      <c r="B312" s="13" t="s">
        <v>17</v>
      </c>
      <c r="C312" s="13" t="s">
        <v>167</v>
      </c>
      <c r="D312" s="13" t="s">
        <v>76</v>
      </c>
      <c r="E312" s="13" t="s">
        <v>227</v>
      </c>
      <c r="F312" s="13" t="s">
        <v>38</v>
      </c>
      <c r="G312" s="23">
        <v>0</v>
      </c>
      <c r="H312" s="23">
        <v>20800</v>
      </c>
      <c r="I312" s="23">
        <v>21600</v>
      </c>
    </row>
    <row r="313" spans="1:12" ht="38.25">
      <c r="A313" s="33" t="s">
        <v>326</v>
      </c>
      <c r="B313" s="13" t="s">
        <v>17</v>
      </c>
      <c r="C313" s="13" t="s">
        <v>167</v>
      </c>
      <c r="D313" s="13" t="s">
        <v>76</v>
      </c>
      <c r="E313" s="13" t="s">
        <v>228</v>
      </c>
      <c r="F313" s="13"/>
      <c r="G313" s="51">
        <f>G314</f>
        <v>0</v>
      </c>
      <c r="H313" s="51">
        <f>H314</f>
        <v>36400</v>
      </c>
      <c r="I313" s="51">
        <f>I314</f>
        <v>37900</v>
      </c>
    </row>
    <row r="314" spans="1:12">
      <c r="A314" s="12" t="s">
        <v>37</v>
      </c>
      <c r="B314" s="13" t="s">
        <v>17</v>
      </c>
      <c r="C314" s="13" t="s">
        <v>167</v>
      </c>
      <c r="D314" s="13" t="s">
        <v>76</v>
      </c>
      <c r="E314" s="13" t="s">
        <v>228</v>
      </c>
      <c r="F314" s="13" t="s">
        <v>38</v>
      </c>
      <c r="G314" s="23">
        <v>0</v>
      </c>
      <c r="H314" s="23">
        <v>36400</v>
      </c>
      <c r="I314" s="23">
        <v>37900</v>
      </c>
    </row>
    <row r="315" spans="1:12" ht="49.5" customHeight="1">
      <c r="A315" s="33" t="s">
        <v>327</v>
      </c>
      <c r="B315" s="13" t="s">
        <v>17</v>
      </c>
      <c r="C315" s="13" t="s">
        <v>167</v>
      </c>
      <c r="D315" s="13" t="s">
        <v>76</v>
      </c>
      <c r="E315" s="13" t="s">
        <v>229</v>
      </c>
      <c r="F315" s="13"/>
      <c r="G315" s="51">
        <f>G316</f>
        <v>5000</v>
      </c>
      <c r="H315" s="51">
        <f>H316</f>
        <v>119200</v>
      </c>
      <c r="I315" s="51">
        <f>I316</f>
        <v>122200</v>
      </c>
      <c r="L315" s="54"/>
    </row>
    <row r="316" spans="1:12">
      <c r="A316" s="12" t="s">
        <v>37</v>
      </c>
      <c r="B316" s="13" t="s">
        <v>17</v>
      </c>
      <c r="C316" s="13" t="s">
        <v>167</v>
      </c>
      <c r="D316" s="13" t="s">
        <v>76</v>
      </c>
      <c r="E316" s="13" t="s">
        <v>229</v>
      </c>
      <c r="F316" s="13" t="s">
        <v>38</v>
      </c>
      <c r="G316" s="23">
        <v>5000</v>
      </c>
      <c r="H316" s="23">
        <v>119200</v>
      </c>
      <c r="I316" s="23">
        <v>122200</v>
      </c>
    </row>
    <row r="317" spans="1:12" ht="75" customHeight="1">
      <c r="A317" s="76" t="s">
        <v>389</v>
      </c>
      <c r="B317" s="63" t="s">
        <v>17</v>
      </c>
      <c r="C317" s="63" t="s">
        <v>167</v>
      </c>
      <c r="D317" s="63" t="s">
        <v>76</v>
      </c>
      <c r="E317" s="63" t="s">
        <v>390</v>
      </c>
      <c r="F317" s="63"/>
      <c r="G317" s="51">
        <f>G318+G319</f>
        <v>380800</v>
      </c>
      <c r="H317" s="51">
        <v>396000</v>
      </c>
      <c r="I317" s="51">
        <v>411800</v>
      </c>
    </row>
    <row r="318" spans="1:12">
      <c r="A318" s="12" t="s">
        <v>37</v>
      </c>
      <c r="B318" s="63" t="s">
        <v>17</v>
      </c>
      <c r="C318" s="63" t="s">
        <v>167</v>
      </c>
      <c r="D318" s="63" t="s">
        <v>76</v>
      </c>
      <c r="E318" s="63" t="s">
        <v>390</v>
      </c>
      <c r="F318" s="63" t="s">
        <v>38</v>
      </c>
      <c r="G318" s="23">
        <f>380800-80800-300000</f>
        <v>0</v>
      </c>
      <c r="H318" s="23">
        <v>396000</v>
      </c>
      <c r="I318" s="23">
        <v>411800</v>
      </c>
    </row>
    <row r="319" spans="1:12" ht="25.5">
      <c r="A319" s="12" t="s">
        <v>246</v>
      </c>
      <c r="B319" s="63" t="s">
        <v>17</v>
      </c>
      <c r="C319" s="63" t="s">
        <v>167</v>
      </c>
      <c r="D319" s="63" t="s">
        <v>76</v>
      </c>
      <c r="E319" s="63" t="s">
        <v>390</v>
      </c>
      <c r="F319" s="63" t="s">
        <v>247</v>
      </c>
      <c r="G319" s="23">
        <v>380800</v>
      </c>
      <c r="H319" s="23">
        <v>0</v>
      </c>
      <c r="I319" s="23">
        <v>0</v>
      </c>
    </row>
    <row r="320" spans="1:12" ht="51">
      <c r="A320" s="12" t="s">
        <v>387</v>
      </c>
      <c r="B320" s="63" t="s">
        <v>17</v>
      </c>
      <c r="C320" s="63" t="s">
        <v>167</v>
      </c>
      <c r="D320" s="63" t="s">
        <v>76</v>
      </c>
      <c r="E320" s="63" t="s">
        <v>388</v>
      </c>
      <c r="F320" s="63"/>
      <c r="G320" s="51">
        <v>394000</v>
      </c>
      <c r="H320" s="51">
        <v>0</v>
      </c>
      <c r="I320" s="51">
        <v>0</v>
      </c>
    </row>
    <row r="321" spans="1:9">
      <c r="A321" s="12" t="s">
        <v>37</v>
      </c>
      <c r="B321" s="63" t="s">
        <v>17</v>
      </c>
      <c r="C321" s="63" t="s">
        <v>167</v>
      </c>
      <c r="D321" s="63" t="s">
        <v>76</v>
      </c>
      <c r="E321" s="63" t="s">
        <v>388</v>
      </c>
      <c r="F321" s="63" t="s">
        <v>38</v>
      </c>
      <c r="G321" s="23">
        <v>394000</v>
      </c>
      <c r="H321" s="23">
        <v>0</v>
      </c>
      <c r="I321" s="23">
        <v>0</v>
      </c>
    </row>
    <row r="322" spans="1:9">
      <c r="A322" s="12" t="s">
        <v>365</v>
      </c>
      <c r="B322" s="63" t="s">
        <v>17</v>
      </c>
      <c r="C322" s="63" t="s">
        <v>167</v>
      </c>
      <c r="D322" s="63" t="s">
        <v>76</v>
      </c>
      <c r="E322" s="63" t="s">
        <v>370</v>
      </c>
      <c r="F322" s="63"/>
      <c r="G322" s="51">
        <f>G323</f>
        <v>130900</v>
      </c>
      <c r="H322" s="51">
        <v>0</v>
      </c>
      <c r="I322" s="51">
        <v>0</v>
      </c>
    </row>
    <row r="323" spans="1:9">
      <c r="A323" s="12" t="s">
        <v>37</v>
      </c>
      <c r="B323" s="63" t="s">
        <v>17</v>
      </c>
      <c r="C323" s="63" t="s">
        <v>167</v>
      </c>
      <c r="D323" s="63" t="s">
        <v>76</v>
      </c>
      <c r="E323" s="63" t="s">
        <v>403</v>
      </c>
      <c r="F323" s="63"/>
      <c r="G323" s="53">
        <f>G324</f>
        <v>130900</v>
      </c>
      <c r="H323" s="23">
        <v>0</v>
      </c>
      <c r="I323" s="23">
        <v>0</v>
      </c>
    </row>
    <row r="324" spans="1:9" ht="28.5" customHeight="1">
      <c r="A324" s="12" t="s">
        <v>402</v>
      </c>
      <c r="B324" s="63" t="s">
        <v>17</v>
      </c>
      <c r="C324" s="63" t="s">
        <v>167</v>
      </c>
      <c r="D324" s="63" t="s">
        <v>76</v>
      </c>
      <c r="E324" s="63" t="s">
        <v>403</v>
      </c>
      <c r="F324" s="63" t="s">
        <v>38</v>
      </c>
      <c r="G324" s="23">
        <v>130900</v>
      </c>
      <c r="H324" s="23">
        <v>0</v>
      </c>
      <c r="I324" s="23">
        <v>0</v>
      </c>
    </row>
    <row r="325" spans="1:9">
      <c r="A325" s="12" t="s">
        <v>230</v>
      </c>
      <c r="B325" s="13" t="s">
        <v>17</v>
      </c>
      <c r="C325" s="13" t="s">
        <v>104</v>
      </c>
      <c r="D325" s="13" t="s">
        <v>19</v>
      </c>
      <c r="E325" s="13"/>
      <c r="F325" s="13"/>
      <c r="G325" s="51">
        <f>G326+G335+G341+G347+G349+G351+G353+G355+G358</f>
        <v>33896951.019999996</v>
      </c>
      <c r="H325" s="51">
        <f>H326+H335+H341++H347+H351+H353+H355</f>
        <v>34154500</v>
      </c>
      <c r="I325" s="65">
        <f>I326+I335+I341++I347+I351+I353+I355</f>
        <v>35999600</v>
      </c>
    </row>
    <row r="326" spans="1:9" ht="25.5">
      <c r="A326" s="12" t="s">
        <v>231</v>
      </c>
      <c r="B326" s="13" t="s">
        <v>17</v>
      </c>
      <c r="C326" s="13" t="s">
        <v>104</v>
      </c>
      <c r="D326" s="13" t="s">
        <v>19</v>
      </c>
      <c r="E326" s="13" t="s">
        <v>232</v>
      </c>
      <c r="F326" s="13"/>
      <c r="G326" s="51">
        <f>G327+G328+G329+G330+G331+G332+G333+G334</f>
        <v>16875700</v>
      </c>
      <c r="H326" s="51">
        <f>H327+H328+H329+H330+H332+H333+H334</f>
        <v>16877100</v>
      </c>
      <c r="I326" s="51">
        <f>I327+I328+I329+I330+I332+I333+I334</f>
        <v>17100100</v>
      </c>
    </row>
    <row r="327" spans="1:9">
      <c r="A327" s="12" t="s">
        <v>49</v>
      </c>
      <c r="B327" s="13" t="s">
        <v>17</v>
      </c>
      <c r="C327" s="13" t="s">
        <v>104</v>
      </c>
      <c r="D327" s="13" t="s">
        <v>19</v>
      </c>
      <c r="E327" s="13" t="s">
        <v>232</v>
      </c>
      <c r="F327" s="13" t="s">
        <v>50</v>
      </c>
      <c r="G327" s="23">
        <v>10461597</v>
      </c>
      <c r="H327" s="23">
        <v>10642857</v>
      </c>
      <c r="I327" s="23">
        <v>10642857</v>
      </c>
    </row>
    <row r="328" spans="1:9" ht="38.25">
      <c r="A328" s="12" t="s">
        <v>51</v>
      </c>
      <c r="B328" s="13" t="s">
        <v>17</v>
      </c>
      <c r="C328" s="13" t="s">
        <v>104</v>
      </c>
      <c r="D328" s="13" t="s">
        <v>19</v>
      </c>
      <c r="E328" s="13" t="s">
        <v>232</v>
      </c>
      <c r="F328" s="13" t="s">
        <v>52</v>
      </c>
      <c r="G328" s="23">
        <v>3159403</v>
      </c>
      <c r="H328" s="23">
        <v>3214143</v>
      </c>
      <c r="I328" s="23">
        <v>3214143</v>
      </c>
    </row>
    <row r="329" spans="1:9">
      <c r="A329" s="12" t="s">
        <v>37</v>
      </c>
      <c r="B329" s="13" t="s">
        <v>17</v>
      </c>
      <c r="C329" s="13" t="s">
        <v>104</v>
      </c>
      <c r="D329" s="13" t="s">
        <v>19</v>
      </c>
      <c r="E329" s="13" t="s">
        <v>232</v>
      </c>
      <c r="F329" s="13" t="s">
        <v>38</v>
      </c>
      <c r="G329" s="23">
        <f>1488270.77-15335.28-84000</f>
        <v>1388935.49</v>
      </c>
      <c r="H329" s="23">
        <v>1046836</v>
      </c>
      <c r="I329" s="23">
        <v>1149836</v>
      </c>
    </row>
    <row r="330" spans="1:9">
      <c r="A330" s="12" t="s">
        <v>53</v>
      </c>
      <c r="B330" s="13" t="s">
        <v>17</v>
      </c>
      <c r="C330" s="13" t="s">
        <v>104</v>
      </c>
      <c r="D330" s="13" t="s">
        <v>19</v>
      </c>
      <c r="E330" s="13" t="s">
        <v>232</v>
      </c>
      <c r="F330" s="13" t="s">
        <v>54</v>
      </c>
      <c r="G330" s="23">
        <f>2304429.23-400000-100000</f>
        <v>1804429.23</v>
      </c>
      <c r="H330" s="23">
        <v>1973264</v>
      </c>
      <c r="I330" s="24">
        <v>1993264</v>
      </c>
    </row>
    <row r="331" spans="1:9">
      <c r="A331" s="12" t="s">
        <v>376</v>
      </c>
      <c r="B331" s="63" t="s">
        <v>17</v>
      </c>
      <c r="C331" s="63" t="s">
        <v>104</v>
      </c>
      <c r="D331" s="63" t="s">
        <v>19</v>
      </c>
      <c r="E331" s="63" t="s">
        <v>232</v>
      </c>
      <c r="F331" s="63" t="s">
        <v>377</v>
      </c>
      <c r="G331" s="23">
        <v>15335.28</v>
      </c>
      <c r="H331" s="23">
        <v>0</v>
      </c>
      <c r="I331" s="24">
        <v>0</v>
      </c>
    </row>
    <row r="332" spans="1:9" ht="25.5">
      <c r="A332" s="12" t="s">
        <v>55</v>
      </c>
      <c r="B332" s="13" t="s">
        <v>17</v>
      </c>
      <c r="C332" s="13" t="s">
        <v>104</v>
      </c>
      <c r="D332" s="13" t="s">
        <v>19</v>
      </c>
      <c r="E332" s="13" t="s">
        <v>232</v>
      </c>
      <c r="F332" s="13" t="s">
        <v>56</v>
      </c>
      <c r="G332" s="23">
        <v>34208.79</v>
      </c>
      <c r="H332" s="23">
        <v>0</v>
      </c>
      <c r="I332" s="23">
        <v>100000</v>
      </c>
    </row>
    <row r="333" spans="1:9">
      <c r="A333" s="12" t="s">
        <v>340</v>
      </c>
      <c r="B333" s="63" t="s">
        <v>17</v>
      </c>
      <c r="C333" s="63" t="s">
        <v>104</v>
      </c>
      <c r="D333" s="63" t="s">
        <v>19</v>
      </c>
      <c r="E333" s="63" t="s">
        <v>232</v>
      </c>
      <c r="F333" s="63" t="s">
        <v>83</v>
      </c>
      <c r="G333" s="23">
        <v>2000</v>
      </c>
      <c r="H333" s="23">
        <v>0</v>
      </c>
      <c r="I333" s="23">
        <v>0</v>
      </c>
    </row>
    <row r="334" spans="1:9">
      <c r="A334" s="12" t="s">
        <v>336</v>
      </c>
      <c r="B334" s="63" t="s">
        <v>17</v>
      </c>
      <c r="C334" s="63" t="s">
        <v>104</v>
      </c>
      <c r="D334" s="63" t="s">
        <v>19</v>
      </c>
      <c r="E334" s="63" t="s">
        <v>232</v>
      </c>
      <c r="F334" s="63" t="s">
        <v>337</v>
      </c>
      <c r="G334" s="23">
        <v>9791.2099999999991</v>
      </c>
      <c r="H334" s="23">
        <v>0</v>
      </c>
      <c r="I334" s="23">
        <v>0</v>
      </c>
    </row>
    <row r="335" spans="1:9" ht="38.25">
      <c r="A335" s="12" t="s">
        <v>233</v>
      </c>
      <c r="B335" s="13" t="s">
        <v>17</v>
      </c>
      <c r="C335" s="13" t="s">
        <v>104</v>
      </c>
      <c r="D335" s="13" t="s">
        <v>19</v>
      </c>
      <c r="E335" s="13" t="s">
        <v>234</v>
      </c>
      <c r="F335" s="13"/>
      <c r="G335" s="51">
        <f>G336+G337+G338+G339</f>
        <v>4734700</v>
      </c>
      <c r="H335" s="51">
        <f>H336+H337+H338+H339+H340</f>
        <v>4256800</v>
      </c>
      <c r="I335" s="51">
        <f>I336+I337+I338+I339</f>
        <v>5033800</v>
      </c>
    </row>
    <row r="336" spans="1:9">
      <c r="A336" s="12" t="s">
        <v>49</v>
      </c>
      <c r="B336" s="13" t="s">
        <v>17</v>
      </c>
      <c r="C336" s="13" t="s">
        <v>104</v>
      </c>
      <c r="D336" s="13" t="s">
        <v>19</v>
      </c>
      <c r="E336" s="13" t="s">
        <v>234</v>
      </c>
      <c r="F336" s="13" t="s">
        <v>50</v>
      </c>
      <c r="G336" s="23">
        <v>3255991</v>
      </c>
      <c r="H336" s="23">
        <v>2731797</v>
      </c>
      <c r="I336" s="23">
        <v>3073579</v>
      </c>
    </row>
    <row r="337" spans="1:11" ht="38.25">
      <c r="A337" s="12" t="s">
        <v>51</v>
      </c>
      <c r="B337" s="13" t="s">
        <v>17</v>
      </c>
      <c r="C337" s="13" t="s">
        <v>104</v>
      </c>
      <c r="D337" s="13" t="s">
        <v>19</v>
      </c>
      <c r="E337" s="13" t="s">
        <v>234</v>
      </c>
      <c r="F337" s="13" t="s">
        <v>52</v>
      </c>
      <c r="G337" s="23">
        <v>983309</v>
      </c>
      <c r="H337" s="23">
        <v>825003</v>
      </c>
      <c r="I337" s="23">
        <v>928221</v>
      </c>
      <c r="K337" s="1" t="s">
        <v>309</v>
      </c>
    </row>
    <row r="338" spans="1:11">
      <c r="A338" s="12" t="s">
        <v>37</v>
      </c>
      <c r="B338" s="13" t="s">
        <v>17</v>
      </c>
      <c r="C338" s="13" t="s">
        <v>104</v>
      </c>
      <c r="D338" s="13" t="s">
        <v>19</v>
      </c>
      <c r="E338" s="13" t="s">
        <v>234</v>
      </c>
      <c r="F338" s="13" t="s">
        <v>38</v>
      </c>
      <c r="G338" s="23">
        <f>320416.89+20000</f>
        <v>340416.89</v>
      </c>
      <c r="H338" s="20">
        <f>435016.89-42660-20022.8</f>
        <v>372334.09</v>
      </c>
      <c r="I338" s="23">
        <v>757016.89</v>
      </c>
    </row>
    <row r="339" spans="1:11">
      <c r="A339" s="12" t="s">
        <v>53</v>
      </c>
      <c r="B339" s="13" t="s">
        <v>17</v>
      </c>
      <c r="C339" s="13" t="s">
        <v>104</v>
      </c>
      <c r="D339" s="13" t="s">
        <v>19</v>
      </c>
      <c r="E339" s="13" t="s">
        <v>234</v>
      </c>
      <c r="F339" s="13" t="s">
        <v>54</v>
      </c>
      <c r="G339" s="23">
        <f>254983.11-100000</f>
        <v>154983.10999999999</v>
      </c>
      <c r="H339" s="23">
        <v>264983.11</v>
      </c>
      <c r="I339" s="23">
        <v>274983.11</v>
      </c>
    </row>
    <row r="340" spans="1:11" ht="29.25" customHeight="1">
      <c r="A340" s="12" t="s">
        <v>439</v>
      </c>
      <c r="B340" s="63" t="s">
        <v>17</v>
      </c>
      <c r="C340" s="63" t="s">
        <v>104</v>
      </c>
      <c r="D340" s="63" t="s">
        <v>19</v>
      </c>
      <c r="E340" s="63" t="s">
        <v>440</v>
      </c>
      <c r="F340" s="63" t="s">
        <v>38</v>
      </c>
      <c r="G340" s="23">
        <v>0</v>
      </c>
      <c r="H340" s="20">
        <f>42660+20022.8</f>
        <v>62682.8</v>
      </c>
      <c r="I340" s="23">
        <v>0</v>
      </c>
    </row>
    <row r="341" spans="1:11" ht="38.25">
      <c r="A341" s="12" t="s">
        <v>235</v>
      </c>
      <c r="B341" s="13" t="s">
        <v>17</v>
      </c>
      <c r="C341" s="13" t="s">
        <v>104</v>
      </c>
      <c r="D341" s="13" t="s">
        <v>19</v>
      </c>
      <c r="E341" s="13" t="s">
        <v>236</v>
      </c>
      <c r="F341" s="13"/>
      <c r="G341" s="64">
        <f>G342+G343+G344+G345+G346</f>
        <v>5191886.26</v>
      </c>
      <c r="H341" s="64">
        <f>H342+H343+H344+H345+H346</f>
        <v>5793400</v>
      </c>
      <c r="I341" s="64">
        <f>I342+I343+I344+I345+I346</f>
        <v>6638500</v>
      </c>
    </row>
    <row r="342" spans="1:11">
      <c r="A342" s="12" t="s">
        <v>49</v>
      </c>
      <c r="B342" s="13" t="s">
        <v>17</v>
      </c>
      <c r="C342" s="13" t="s">
        <v>104</v>
      </c>
      <c r="D342" s="13" t="s">
        <v>19</v>
      </c>
      <c r="E342" s="13" t="s">
        <v>236</v>
      </c>
      <c r="F342" s="13" t="s">
        <v>50</v>
      </c>
      <c r="G342" s="23">
        <f>2586790-5600-624000</f>
        <v>1957190</v>
      </c>
      <c r="H342" s="25">
        <v>2762443</v>
      </c>
      <c r="I342" s="25">
        <v>3119893</v>
      </c>
    </row>
    <row r="343" spans="1:11" ht="38.25">
      <c r="A343" s="12" t="s">
        <v>51</v>
      </c>
      <c r="B343" s="13" t="s">
        <v>17</v>
      </c>
      <c r="C343" s="13" t="s">
        <v>104</v>
      </c>
      <c r="D343" s="13" t="s">
        <v>19</v>
      </c>
      <c r="E343" s="13" t="s">
        <v>236</v>
      </c>
      <c r="F343" s="13" t="s">
        <v>52</v>
      </c>
      <c r="G343" s="23">
        <f>781210-150913.74</f>
        <v>630296.26</v>
      </c>
      <c r="H343" s="25">
        <v>834257</v>
      </c>
      <c r="I343" s="25">
        <v>942207</v>
      </c>
    </row>
    <row r="344" spans="1:11">
      <c r="A344" s="12" t="s">
        <v>37</v>
      </c>
      <c r="B344" s="13" t="s">
        <v>17</v>
      </c>
      <c r="C344" s="13" t="s">
        <v>104</v>
      </c>
      <c r="D344" s="13" t="s">
        <v>19</v>
      </c>
      <c r="E344" s="13" t="s">
        <v>236</v>
      </c>
      <c r="F344" s="13" t="s">
        <v>38</v>
      </c>
      <c r="G344" s="23">
        <f>1750400-20000+624000-156397-250000</f>
        <v>1948003</v>
      </c>
      <c r="H344" s="25">
        <v>1934700</v>
      </c>
      <c r="I344" s="25">
        <v>2294400</v>
      </c>
    </row>
    <row r="345" spans="1:11">
      <c r="A345" s="12" t="s">
        <v>53</v>
      </c>
      <c r="B345" s="13" t="s">
        <v>17</v>
      </c>
      <c r="C345" s="13" t="s">
        <v>104</v>
      </c>
      <c r="D345" s="13" t="s">
        <v>19</v>
      </c>
      <c r="E345" s="13" t="s">
        <v>236</v>
      </c>
      <c r="F345" s="13" t="s">
        <v>54</v>
      </c>
      <c r="G345" s="23">
        <f>250000+156397+250000</f>
        <v>656397</v>
      </c>
      <c r="H345" s="25">
        <v>260000</v>
      </c>
      <c r="I345" s="25">
        <v>280000</v>
      </c>
    </row>
    <row r="346" spans="1:11" ht="25.5">
      <c r="A346" s="12" t="s">
        <v>55</v>
      </c>
      <c r="B346" s="13" t="s">
        <v>17</v>
      </c>
      <c r="C346" s="13" t="s">
        <v>104</v>
      </c>
      <c r="D346" s="13" t="s">
        <v>19</v>
      </c>
      <c r="E346" s="13" t="s">
        <v>236</v>
      </c>
      <c r="F346" s="13" t="s">
        <v>56</v>
      </c>
      <c r="G346" s="23">
        <f>2000-2000</f>
        <v>0</v>
      </c>
      <c r="H346" s="25">
        <v>2000</v>
      </c>
      <c r="I346" s="25">
        <v>2000</v>
      </c>
    </row>
    <row r="347" spans="1:11" ht="38.25">
      <c r="A347" s="12" t="s">
        <v>357</v>
      </c>
      <c r="B347" s="63" t="s">
        <v>17</v>
      </c>
      <c r="C347" s="63" t="s">
        <v>104</v>
      </c>
      <c r="D347" s="63" t="s">
        <v>19</v>
      </c>
      <c r="E347" s="63" t="s">
        <v>358</v>
      </c>
      <c r="F347" s="63"/>
      <c r="G347" s="51">
        <f>G348</f>
        <v>55600</v>
      </c>
      <c r="H347" s="51">
        <f>H348</f>
        <v>0</v>
      </c>
      <c r="I347" s="51">
        <f>I348</f>
        <v>0</v>
      </c>
    </row>
    <row r="348" spans="1:11">
      <c r="A348" s="12" t="s">
        <v>49</v>
      </c>
      <c r="B348" s="63" t="s">
        <v>17</v>
      </c>
      <c r="C348" s="63" t="s">
        <v>104</v>
      </c>
      <c r="D348" s="63" t="s">
        <v>19</v>
      </c>
      <c r="E348" s="63" t="s">
        <v>358</v>
      </c>
      <c r="F348" s="63" t="s">
        <v>50</v>
      </c>
      <c r="G348" s="23">
        <f>50000+5600</f>
        <v>55600</v>
      </c>
      <c r="H348" s="25">
        <v>0</v>
      </c>
      <c r="I348" s="25">
        <v>0</v>
      </c>
    </row>
    <row r="349" spans="1:11" ht="51">
      <c r="A349" s="12" t="s">
        <v>378</v>
      </c>
      <c r="B349" s="63" t="s">
        <v>17</v>
      </c>
      <c r="C349" s="63" t="s">
        <v>104</v>
      </c>
      <c r="D349" s="63" t="s">
        <v>19</v>
      </c>
      <c r="E349" s="63" t="s">
        <v>379</v>
      </c>
      <c r="F349" s="63"/>
      <c r="G349" s="51">
        <f>G350</f>
        <v>0</v>
      </c>
      <c r="H349" s="51">
        <f>H350</f>
        <v>0</v>
      </c>
      <c r="I349" s="51">
        <f>I350</f>
        <v>0</v>
      </c>
    </row>
    <row r="350" spans="1:11">
      <c r="A350" s="12" t="s">
        <v>49</v>
      </c>
      <c r="B350" s="63" t="s">
        <v>17</v>
      </c>
      <c r="C350" s="63" t="s">
        <v>104</v>
      </c>
      <c r="D350" s="63" t="s">
        <v>19</v>
      </c>
      <c r="E350" s="63" t="s">
        <v>379</v>
      </c>
      <c r="F350" s="63" t="s">
        <v>50</v>
      </c>
      <c r="G350" s="23">
        <f>5600-5600</f>
        <v>0</v>
      </c>
      <c r="H350" s="25">
        <v>0</v>
      </c>
      <c r="I350" s="25">
        <v>0</v>
      </c>
    </row>
    <row r="351" spans="1:11" ht="38.25">
      <c r="A351" s="12" t="s">
        <v>237</v>
      </c>
      <c r="B351" s="13" t="s">
        <v>17</v>
      </c>
      <c r="C351" s="13" t="s">
        <v>104</v>
      </c>
      <c r="D351" s="13" t="s">
        <v>19</v>
      </c>
      <c r="E351" s="13" t="s">
        <v>238</v>
      </c>
      <c r="F351" s="13"/>
      <c r="G351" s="64">
        <f>G352</f>
        <v>347000</v>
      </c>
      <c r="H351" s="64">
        <f>H352</f>
        <v>297000</v>
      </c>
      <c r="I351" s="64">
        <f>I352</f>
        <v>297000</v>
      </c>
    </row>
    <row r="352" spans="1:11">
      <c r="A352" s="12" t="s">
        <v>37</v>
      </c>
      <c r="B352" s="13" t="s">
        <v>17</v>
      </c>
      <c r="C352" s="13" t="s">
        <v>104</v>
      </c>
      <c r="D352" s="13" t="s">
        <v>19</v>
      </c>
      <c r="E352" s="13" t="s">
        <v>238</v>
      </c>
      <c r="F352" s="13" t="s">
        <v>38</v>
      </c>
      <c r="G352" s="23">
        <f>312000-15000+50000</f>
        <v>347000</v>
      </c>
      <c r="H352" s="23">
        <v>297000</v>
      </c>
      <c r="I352" s="23">
        <v>297000</v>
      </c>
    </row>
    <row r="353" spans="1:9">
      <c r="A353" s="12" t="s">
        <v>239</v>
      </c>
      <c r="B353" s="13" t="s">
        <v>17</v>
      </c>
      <c r="C353" s="13" t="s">
        <v>104</v>
      </c>
      <c r="D353" s="13" t="s">
        <v>19</v>
      </c>
      <c r="E353" s="13" t="s">
        <v>240</v>
      </c>
      <c r="F353" s="13"/>
      <c r="G353" s="51">
        <f>G354</f>
        <v>669739.67999999993</v>
      </c>
      <c r="H353" s="51">
        <f>H354</f>
        <v>599600</v>
      </c>
      <c r="I353" s="51">
        <f>I354</f>
        <v>599600</v>
      </c>
    </row>
    <row r="354" spans="1:9">
      <c r="A354" s="12" t="s">
        <v>37</v>
      </c>
      <c r="B354" s="13" t="s">
        <v>17</v>
      </c>
      <c r="C354" s="13" t="s">
        <v>104</v>
      </c>
      <c r="D354" s="13" t="s">
        <v>19</v>
      </c>
      <c r="E354" s="13" t="s">
        <v>240</v>
      </c>
      <c r="F354" s="13" t="s">
        <v>38</v>
      </c>
      <c r="G354" s="23">
        <f>529600+132139.68+8000</f>
        <v>669739.67999999993</v>
      </c>
      <c r="H354" s="23">
        <v>599600</v>
      </c>
      <c r="I354" s="23">
        <v>599600</v>
      </c>
    </row>
    <row r="355" spans="1:9" ht="25.5">
      <c r="A355" s="12" t="s">
        <v>241</v>
      </c>
      <c r="B355" s="13" t="s">
        <v>17</v>
      </c>
      <c r="C355" s="13" t="s">
        <v>104</v>
      </c>
      <c r="D355" s="13" t="s">
        <v>19</v>
      </c>
      <c r="E355" s="13" t="s">
        <v>242</v>
      </c>
      <c r="F355" s="13"/>
      <c r="G355" s="51">
        <f>G356+G357</f>
        <v>6000000</v>
      </c>
      <c r="H355" s="51">
        <f>H356+H357</f>
        <v>6330600</v>
      </c>
      <c r="I355" s="51">
        <f>I356+I357</f>
        <v>6330600</v>
      </c>
    </row>
    <row r="356" spans="1:9">
      <c r="A356" s="12" t="s">
        <v>49</v>
      </c>
      <c r="B356" s="13" t="s">
        <v>17</v>
      </c>
      <c r="C356" s="13" t="s">
        <v>104</v>
      </c>
      <c r="D356" s="13" t="s">
        <v>19</v>
      </c>
      <c r="E356" s="13" t="s">
        <v>242</v>
      </c>
      <c r="F356" s="13" t="s">
        <v>50</v>
      </c>
      <c r="G356" s="23">
        <v>4608295</v>
      </c>
      <c r="H356" s="23">
        <v>4862212</v>
      </c>
      <c r="I356" s="23">
        <v>4862212</v>
      </c>
    </row>
    <row r="357" spans="1:9" ht="38.25">
      <c r="A357" s="12" t="s">
        <v>51</v>
      </c>
      <c r="B357" s="13" t="s">
        <v>17</v>
      </c>
      <c r="C357" s="13" t="s">
        <v>104</v>
      </c>
      <c r="D357" s="13" t="s">
        <v>19</v>
      </c>
      <c r="E357" s="13" t="s">
        <v>242</v>
      </c>
      <c r="F357" s="13" t="s">
        <v>52</v>
      </c>
      <c r="G357" s="23">
        <v>1391705</v>
      </c>
      <c r="H357" s="23">
        <v>1468388</v>
      </c>
      <c r="I357" s="23">
        <v>1468388</v>
      </c>
    </row>
    <row r="358" spans="1:9" ht="92.25" customHeight="1">
      <c r="A358" s="12" t="s">
        <v>420</v>
      </c>
      <c r="B358" s="63" t="s">
        <v>17</v>
      </c>
      <c r="C358" s="63" t="s">
        <v>104</v>
      </c>
      <c r="D358" s="63" t="s">
        <v>19</v>
      </c>
      <c r="E358" s="63"/>
      <c r="F358" s="63"/>
      <c r="G358" s="51">
        <f>G359+G360</f>
        <v>22325.079999999998</v>
      </c>
      <c r="H358" s="23">
        <v>0</v>
      </c>
      <c r="I358" s="23">
        <v>0</v>
      </c>
    </row>
    <row r="359" spans="1:9" ht="19.5" customHeight="1">
      <c r="A359" s="12" t="s">
        <v>49</v>
      </c>
      <c r="B359" s="63" t="s">
        <v>17</v>
      </c>
      <c r="C359" s="63" t="s">
        <v>104</v>
      </c>
      <c r="D359" s="63" t="s">
        <v>19</v>
      </c>
      <c r="E359" s="63" t="s">
        <v>421</v>
      </c>
      <c r="F359" s="63" t="s">
        <v>50</v>
      </c>
      <c r="G359" s="23">
        <v>17146.71</v>
      </c>
      <c r="H359" s="23">
        <v>0</v>
      </c>
      <c r="I359" s="23">
        <v>0</v>
      </c>
    </row>
    <row r="360" spans="1:9" ht="38.25" customHeight="1">
      <c r="A360" s="12" t="s">
        <v>51</v>
      </c>
      <c r="B360" s="63" t="s">
        <v>17</v>
      </c>
      <c r="C360" s="63" t="s">
        <v>104</v>
      </c>
      <c r="D360" s="63" t="s">
        <v>19</v>
      </c>
      <c r="E360" s="63" t="s">
        <v>421</v>
      </c>
      <c r="F360" s="63" t="s">
        <v>52</v>
      </c>
      <c r="G360" s="23">
        <v>5178.37</v>
      </c>
      <c r="H360" s="23">
        <v>0</v>
      </c>
      <c r="I360" s="23">
        <v>0</v>
      </c>
    </row>
    <row r="361" spans="1:9">
      <c r="A361" s="12" t="s">
        <v>243</v>
      </c>
      <c r="B361" s="13" t="s">
        <v>17</v>
      </c>
      <c r="C361" s="13" t="s">
        <v>82</v>
      </c>
      <c r="D361" s="13" t="s">
        <v>19</v>
      </c>
      <c r="E361" s="13"/>
      <c r="F361" s="13"/>
      <c r="G361" s="51">
        <f t="shared" ref="G361:I362" si="5">G362</f>
        <v>3365000</v>
      </c>
      <c r="H361" s="51">
        <f t="shared" si="5"/>
        <v>3500000</v>
      </c>
      <c r="I361" s="65">
        <f t="shared" si="5"/>
        <v>3640000</v>
      </c>
    </row>
    <row r="362" spans="1:9" ht="63.75">
      <c r="A362" s="12" t="s">
        <v>244</v>
      </c>
      <c r="B362" s="13" t="s">
        <v>17</v>
      </c>
      <c r="C362" s="13" t="s">
        <v>82</v>
      </c>
      <c r="D362" s="13" t="s">
        <v>19</v>
      </c>
      <c r="E362" s="13" t="s">
        <v>245</v>
      </c>
      <c r="F362" s="13"/>
      <c r="G362" s="23">
        <f t="shared" si="5"/>
        <v>3365000</v>
      </c>
      <c r="H362" s="23">
        <f t="shared" si="5"/>
        <v>3500000</v>
      </c>
      <c r="I362" s="23">
        <f t="shared" si="5"/>
        <v>3640000</v>
      </c>
    </row>
    <row r="363" spans="1:9" ht="25.5">
      <c r="A363" s="12" t="s">
        <v>246</v>
      </c>
      <c r="B363" s="13" t="s">
        <v>17</v>
      </c>
      <c r="C363" s="13" t="s">
        <v>82</v>
      </c>
      <c r="D363" s="13" t="s">
        <v>19</v>
      </c>
      <c r="E363" s="13" t="s">
        <v>245</v>
      </c>
      <c r="F363" s="13" t="s">
        <v>247</v>
      </c>
      <c r="G363" s="23">
        <v>3365000</v>
      </c>
      <c r="H363" s="23">
        <v>3500000</v>
      </c>
      <c r="I363" s="23">
        <v>3640000</v>
      </c>
    </row>
    <row r="364" spans="1:9">
      <c r="A364" s="12" t="s">
        <v>248</v>
      </c>
      <c r="B364" s="13" t="s">
        <v>17</v>
      </c>
      <c r="C364" s="13" t="s">
        <v>82</v>
      </c>
      <c r="D364" s="13" t="s">
        <v>72</v>
      </c>
      <c r="E364" s="13"/>
      <c r="F364" s="13"/>
      <c r="G364" s="51">
        <f>G365+G368+G371+G374+G376+G378+G380++G382+G384</f>
        <v>26392198.5</v>
      </c>
      <c r="H364" s="51">
        <f>H365+H368+H371+H374+H376+H378+H380+H384</f>
        <v>25621700</v>
      </c>
      <c r="I364" s="65">
        <f>I365+I368+I371+I374+I376+I378+I380+I384</f>
        <v>26549600</v>
      </c>
    </row>
    <row r="365" spans="1:9" ht="127.5">
      <c r="A365" s="12" t="s">
        <v>249</v>
      </c>
      <c r="B365" s="13" t="s">
        <v>17</v>
      </c>
      <c r="C365" s="13" t="s">
        <v>82</v>
      </c>
      <c r="D365" s="13" t="s">
        <v>72</v>
      </c>
      <c r="E365" s="13" t="s">
        <v>250</v>
      </c>
      <c r="F365" s="13"/>
      <c r="G365" s="51">
        <f>G366+G367</f>
        <v>2218000</v>
      </c>
      <c r="H365" s="51">
        <f>H366+H367</f>
        <v>2128800</v>
      </c>
      <c r="I365" s="51">
        <f>I366+I367</f>
        <v>2227900</v>
      </c>
    </row>
    <row r="366" spans="1:9">
      <c r="A366" s="12" t="s">
        <v>37</v>
      </c>
      <c r="B366" s="13" t="s">
        <v>17</v>
      </c>
      <c r="C366" s="13" t="s">
        <v>82</v>
      </c>
      <c r="D366" s="13" t="s">
        <v>72</v>
      </c>
      <c r="E366" s="13" t="s">
        <v>250</v>
      </c>
      <c r="F366" s="13" t="s">
        <v>38</v>
      </c>
      <c r="G366" s="25">
        <v>32700</v>
      </c>
      <c r="H366" s="23">
        <v>31800</v>
      </c>
      <c r="I366" s="23">
        <v>32900</v>
      </c>
    </row>
    <row r="367" spans="1:9" ht="25.5">
      <c r="A367" s="12" t="s">
        <v>246</v>
      </c>
      <c r="B367" s="13" t="s">
        <v>17</v>
      </c>
      <c r="C367" s="13" t="s">
        <v>82</v>
      </c>
      <c r="D367" s="13" t="s">
        <v>72</v>
      </c>
      <c r="E367" s="13" t="s">
        <v>250</v>
      </c>
      <c r="F367" s="13" t="s">
        <v>247</v>
      </c>
      <c r="G367" s="25">
        <v>2185300</v>
      </c>
      <c r="H367" s="23">
        <v>2097000</v>
      </c>
      <c r="I367" s="23">
        <v>2195000</v>
      </c>
    </row>
    <row r="368" spans="1:9" ht="127.5">
      <c r="A368" s="12" t="s">
        <v>253</v>
      </c>
      <c r="B368" s="13" t="s">
        <v>17</v>
      </c>
      <c r="C368" s="13" t="s">
        <v>82</v>
      </c>
      <c r="D368" s="13" t="s">
        <v>72</v>
      </c>
      <c r="E368" s="13" t="s">
        <v>254</v>
      </c>
      <c r="F368" s="13"/>
      <c r="G368" s="51">
        <f>G369+G370</f>
        <v>2765700</v>
      </c>
      <c r="H368" s="51">
        <f>H369+H370</f>
        <v>2765300</v>
      </c>
      <c r="I368" s="51">
        <f>I369+I370</f>
        <v>2765200</v>
      </c>
    </row>
    <row r="369" spans="1:11">
      <c r="A369" s="12" t="s">
        <v>37</v>
      </c>
      <c r="B369" s="13" t="s">
        <v>17</v>
      </c>
      <c r="C369" s="13" t="s">
        <v>82</v>
      </c>
      <c r="D369" s="13" t="s">
        <v>72</v>
      </c>
      <c r="E369" s="13" t="s">
        <v>254</v>
      </c>
      <c r="F369" s="13" t="s">
        <v>38</v>
      </c>
      <c r="G369" s="23">
        <v>40800</v>
      </c>
      <c r="H369" s="23">
        <v>40800</v>
      </c>
      <c r="I369" s="23">
        <v>40800</v>
      </c>
    </row>
    <row r="370" spans="1:11" ht="25.5">
      <c r="A370" s="12" t="s">
        <v>246</v>
      </c>
      <c r="B370" s="13" t="s">
        <v>17</v>
      </c>
      <c r="C370" s="13" t="s">
        <v>82</v>
      </c>
      <c r="D370" s="13" t="s">
        <v>72</v>
      </c>
      <c r="E370" s="13" t="s">
        <v>254</v>
      </c>
      <c r="F370" s="13" t="s">
        <v>247</v>
      </c>
      <c r="G370" s="23">
        <v>2724900</v>
      </c>
      <c r="H370" s="23">
        <v>2724500</v>
      </c>
      <c r="I370" s="23">
        <v>2724400</v>
      </c>
    </row>
    <row r="371" spans="1:11" ht="140.25">
      <c r="A371" s="12" t="s">
        <v>255</v>
      </c>
      <c r="B371" s="13" t="s">
        <v>17</v>
      </c>
      <c r="C371" s="13" t="s">
        <v>82</v>
      </c>
      <c r="D371" s="13" t="s">
        <v>72</v>
      </c>
      <c r="E371" s="13" t="s">
        <v>256</v>
      </c>
      <c r="F371" s="13"/>
      <c r="G371" s="51">
        <f>G372+G373</f>
        <v>20469600</v>
      </c>
      <c r="H371" s="51">
        <f>H372+H373</f>
        <v>20661300</v>
      </c>
      <c r="I371" s="51">
        <f>I372+I373</f>
        <v>21488000</v>
      </c>
    </row>
    <row r="372" spans="1:11">
      <c r="A372" s="12" t="s">
        <v>37</v>
      </c>
      <c r="B372" s="13" t="s">
        <v>17</v>
      </c>
      <c r="C372" s="13" t="s">
        <v>82</v>
      </c>
      <c r="D372" s="13" t="s">
        <v>72</v>
      </c>
      <c r="E372" s="13" t="s">
        <v>256</v>
      </c>
      <c r="F372" s="13" t="s">
        <v>38</v>
      </c>
      <c r="G372" s="23">
        <f>293600+8907</f>
        <v>302507</v>
      </c>
      <c r="H372" s="23">
        <v>305300</v>
      </c>
      <c r="I372" s="23">
        <v>317600</v>
      </c>
    </row>
    <row r="373" spans="1:11" ht="25.5">
      <c r="A373" s="12" t="s">
        <v>246</v>
      </c>
      <c r="B373" s="13" t="s">
        <v>17</v>
      </c>
      <c r="C373" s="13" t="s">
        <v>82</v>
      </c>
      <c r="D373" s="13" t="s">
        <v>72</v>
      </c>
      <c r="E373" s="13" t="s">
        <v>256</v>
      </c>
      <c r="F373" s="13" t="s">
        <v>247</v>
      </c>
      <c r="G373" s="25">
        <f>19573300+593793</f>
        <v>20167093</v>
      </c>
      <c r="H373" s="23">
        <v>20356000</v>
      </c>
      <c r="I373" s="23">
        <v>21170400</v>
      </c>
    </row>
    <row r="374" spans="1:11" ht="89.25">
      <c r="A374" s="12" t="s">
        <v>257</v>
      </c>
      <c r="B374" s="13" t="s">
        <v>17</v>
      </c>
      <c r="C374" s="13" t="s">
        <v>82</v>
      </c>
      <c r="D374" s="13" t="s">
        <v>72</v>
      </c>
      <c r="E374" s="13" t="s">
        <v>258</v>
      </c>
      <c r="F374" s="13"/>
      <c r="G374" s="51">
        <f>G375</f>
        <v>9900</v>
      </c>
      <c r="H374" s="51">
        <f>H375</f>
        <v>10700</v>
      </c>
      <c r="I374" s="51">
        <f>I375</f>
        <v>11800</v>
      </c>
      <c r="K374" s="1" t="s">
        <v>309</v>
      </c>
    </row>
    <row r="375" spans="1:11" ht="25.5">
      <c r="A375" s="12" t="s">
        <v>246</v>
      </c>
      <c r="B375" s="13" t="s">
        <v>17</v>
      </c>
      <c r="C375" s="13" t="s">
        <v>82</v>
      </c>
      <c r="D375" s="13" t="s">
        <v>72</v>
      </c>
      <c r="E375" s="13" t="s">
        <v>258</v>
      </c>
      <c r="F375" s="13" t="s">
        <v>247</v>
      </c>
      <c r="G375" s="25">
        <v>9900</v>
      </c>
      <c r="H375" s="23">
        <v>10700</v>
      </c>
      <c r="I375" s="23">
        <v>11800</v>
      </c>
    </row>
    <row r="376" spans="1:11" ht="38.25">
      <c r="A376" s="12" t="s">
        <v>259</v>
      </c>
      <c r="B376" s="13" t="s">
        <v>17</v>
      </c>
      <c r="C376" s="13" t="s">
        <v>82</v>
      </c>
      <c r="D376" s="13" t="s">
        <v>72</v>
      </c>
      <c r="E376" s="13" t="s">
        <v>260</v>
      </c>
      <c r="F376" s="13"/>
      <c r="G376" s="51">
        <f>G377</f>
        <v>9000</v>
      </c>
      <c r="H376" s="51">
        <f>H377</f>
        <v>9500</v>
      </c>
      <c r="I376" s="51">
        <f>I377</f>
        <v>9900</v>
      </c>
    </row>
    <row r="377" spans="1:11" ht="25.5">
      <c r="A377" s="12" t="s">
        <v>251</v>
      </c>
      <c r="B377" s="13" t="s">
        <v>17</v>
      </c>
      <c r="C377" s="13" t="s">
        <v>82</v>
      </c>
      <c r="D377" s="13" t="s">
        <v>72</v>
      </c>
      <c r="E377" s="13" t="s">
        <v>260</v>
      </c>
      <c r="F377" s="13" t="s">
        <v>252</v>
      </c>
      <c r="G377" s="23">
        <v>9000</v>
      </c>
      <c r="H377" s="23">
        <v>9500</v>
      </c>
      <c r="I377" s="23">
        <v>9900</v>
      </c>
    </row>
    <row r="378" spans="1:11">
      <c r="A378" s="12" t="s">
        <v>320</v>
      </c>
      <c r="B378" s="32" t="s">
        <v>17</v>
      </c>
      <c r="C378" s="32" t="s">
        <v>82</v>
      </c>
      <c r="D378" s="32" t="s">
        <v>72</v>
      </c>
      <c r="E378" s="32" t="s">
        <v>321</v>
      </c>
      <c r="F378" s="32"/>
      <c r="G378" s="51">
        <f>G379</f>
        <v>0</v>
      </c>
      <c r="H378" s="51">
        <f>H379</f>
        <v>16600</v>
      </c>
      <c r="I378" s="51">
        <f>I379</f>
        <v>16600</v>
      </c>
    </row>
    <row r="379" spans="1:11">
      <c r="A379" s="12" t="s">
        <v>37</v>
      </c>
      <c r="B379" s="32" t="s">
        <v>17</v>
      </c>
      <c r="C379" s="32" t="s">
        <v>82</v>
      </c>
      <c r="D379" s="32" t="s">
        <v>72</v>
      </c>
      <c r="E379" s="32" t="s">
        <v>321</v>
      </c>
      <c r="F379" s="32" t="s">
        <v>38</v>
      </c>
      <c r="G379" s="23">
        <f>16000-16000</f>
        <v>0</v>
      </c>
      <c r="H379" s="23">
        <v>16600</v>
      </c>
      <c r="I379" s="23">
        <v>16600</v>
      </c>
    </row>
    <row r="380" spans="1:11" ht="38.25">
      <c r="A380" s="12" t="s">
        <v>262</v>
      </c>
      <c r="B380" s="13" t="s">
        <v>17</v>
      </c>
      <c r="C380" s="13" t="s">
        <v>82</v>
      </c>
      <c r="D380" s="13" t="s">
        <v>72</v>
      </c>
      <c r="E380" s="13" t="s">
        <v>263</v>
      </c>
      <c r="F380" s="13"/>
      <c r="G380" s="51">
        <f>G381</f>
        <v>5000</v>
      </c>
      <c r="H380" s="51">
        <f>H381</f>
        <v>16000</v>
      </c>
      <c r="I380" s="51">
        <f>I381</f>
        <v>15200</v>
      </c>
    </row>
    <row r="381" spans="1:11">
      <c r="A381" s="12" t="s">
        <v>37</v>
      </c>
      <c r="B381" s="13" t="s">
        <v>17</v>
      </c>
      <c r="C381" s="13" t="s">
        <v>82</v>
      </c>
      <c r="D381" s="13" t="s">
        <v>72</v>
      </c>
      <c r="E381" s="13" t="s">
        <v>263</v>
      </c>
      <c r="F381" s="13" t="s">
        <v>38</v>
      </c>
      <c r="G381" s="23">
        <v>5000</v>
      </c>
      <c r="H381" s="23">
        <v>16000</v>
      </c>
      <c r="I381" s="23">
        <v>15200</v>
      </c>
    </row>
    <row r="382" spans="1:11">
      <c r="A382" s="12" t="s">
        <v>41</v>
      </c>
      <c r="B382" s="63" t="s">
        <v>17</v>
      </c>
      <c r="C382" s="63" t="s">
        <v>82</v>
      </c>
      <c r="D382" s="63" t="s">
        <v>72</v>
      </c>
      <c r="E382" s="63" t="s">
        <v>42</v>
      </c>
      <c r="F382" s="63"/>
      <c r="G382" s="51">
        <f>140000+50000+140000+360000+20000-30000+120000+60000+30000+20000</f>
        <v>910000</v>
      </c>
      <c r="H382" s="51">
        <v>0</v>
      </c>
      <c r="I382" s="51">
        <v>0</v>
      </c>
    </row>
    <row r="383" spans="1:11">
      <c r="A383" s="79" t="s">
        <v>43</v>
      </c>
      <c r="B383" s="74" t="s">
        <v>17</v>
      </c>
      <c r="C383" s="74" t="s">
        <v>82</v>
      </c>
      <c r="D383" s="74" t="s">
        <v>72</v>
      </c>
      <c r="E383" s="74" t="s">
        <v>42</v>
      </c>
      <c r="F383" s="74" t="s">
        <v>247</v>
      </c>
      <c r="G383" s="20">
        <f>140000+50000+140000+360000+20000-30000+120000+60000+30000+20000</f>
        <v>910000</v>
      </c>
      <c r="H383" s="23">
        <v>0</v>
      </c>
      <c r="I383" s="23">
        <v>0</v>
      </c>
    </row>
    <row r="384" spans="1:11" ht="63.75">
      <c r="A384" s="12" t="s">
        <v>264</v>
      </c>
      <c r="B384" s="13" t="s">
        <v>17</v>
      </c>
      <c r="C384" s="13" t="s">
        <v>82</v>
      </c>
      <c r="D384" s="13" t="s">
        <v>72</v>
      </c>
      <c r="E384" s="13" t="s">
        <v>265</v>
      </c>
      <c r="F384" s="13"/>
      <c r="G384" s="51">
        <f>G385</f>
        <v>4998.5</v>
      </c>
      <c r="H384" s="51">
        <f>H385</f>
        <v>13500</v>
      </c>
      <c r="I384" s="51">
        <f>I385</f>
        <v>15000</v>
      </c>
    </row>
    <row r="385" spans="1:9" ht="51">
      <c r="A385" s="12" t="s">
        <v>107</v>
      </c>
      <c r="B385" s="13" t="s">
        <v>17</v>
      </c>
      <c r="C385" s="13" t="s">
        <v>82</v>
      </c>
      <c r="D385" s="13" t="s">
        <v>72</v>
      </c>
      <c r="E385" s="13" t="s">
        <v>265</v>
      </c>
      <c r="F385" s="13" t="s">
        <v>108</v>
      </c>
      <c r="G385" s="23">
        <f>5000-1.5</f>
        <v>4998.5</v>
      </c>
      <c r="H385" s="23">
        <v>13500</v>
      </c>
      <c r="I385" s="23">
        <v>15000</v>
      </c>
    </row>
    <row r="386" spans="1:9">
      <c r="A386" s="12" t="s">
        <v>266</v>
      </c>
      <c r="B386" s="13" t="s">
        <v>17</v>
      </c>
      <c r="C386" s="13" t="s">
        <v>82</v>
      </c>
      <c r="D386" s="13" t="s">
        <v>28</v>
      </c>
      <c r="E386" s="13"/>
      <c r="F386" s="13"/>
      <c r="G386" s="51">
        <f>G387+G389</f>
        <v>1424419.5999999999</v>
      </c>
      <c r="H386" s="51">
        <f>H387+H389</f>
        <v>370100</v>
      </c>
      <c r="I386" s="65">
        <f>I387+I389</f>
        <v>370100</v>
      </c>
    </row>
    <row r="387" spans="1:9" ht="42.75" customHeight="1">
      <c r="A387" s="12" t="s">
        <v>186</v>
      </c>
      <c r="B387" s="45" t="s">
        <v>17</v>
      </c>
      <c r="C387" s="45" t="s">
        <v>82</v>
      </c>
      <c r="D387" s="45" t="s">
        <v>28</v>
      </c>
      <c r="E387" s="45" t="s">
        <v>187</v>
      </c>
      <c r="F387" s="45"/>
      <c r="G387" s="51">
        <f>G388</f>
        <v>46000</v>
      </c>
      <c r="H387" s="51">
        <f>H388</f>
        <v>0</v>
      </c>
      <c r="I387" s="51">
        <f>I388</f>
        <v>0</v>
      </c>
    </row>
    <row r="388" spans="1:9" ht="54.75" customHeight="1">
      <c r="A388" s="12" t="s">
        <v>170</v>
      </c>
      <c r="B388" s="45" t="s">
        <v>17</v>
      </c>
      <c r="C388" s="45" t="s">
        <v>82</v>
      </c>
      <c r="D388" s="45" t="s">
        <v>28</v>
      </c>
      <c r="E388" s="45" t="s">
        <v>187</v>
      </c>
      <c r="F388" s="50" t="s">
        <v>171</v>
      </c>
      <c r="G388" s="23">
        <v>46000</v>
      </c>
      <c r="H388" s="23">
        <v>0</v>
      </c>
      <c r="I388" s="23">
        <v>0</v>
      </c>
    </row>
    <row r="389" spans="1:9" ht="25.5">
      <c r="A389" s="12" t="s">
        <v>329</v>
      </c>
      <c r="B389" s="41" t="s">
        <v>17</v>
      </c>
      <c r="C389" s="41" t="s">
        <v>82</v>
      </c>
      <c r="D389" s="41" t="s">
        <v>28</v>
      </c>
      <c r="E389" s="41" t="s">
        <v>334</v>
      </c>
      <c r="F389" s="41"/>
      <c r="G389" s="51">
        <f>G390</f>
        <v>1378419.5999999999</v>
      </c>
      <c r="H389" s="51">
        <f>H390</f>
        <v>370100</v>
      </c>
      <c r="I389" s="51">
        <f>I390</f>
        <v>370100</v>
      </c>
    </row>
    <row r="390" spans="1:9" ht="25.5">
      <c r="A390" s="34" t="s">
        <v>330</v>
      </c>
      <c r="B390" s="41" t="s">
        <v>17</v>
      </c>
      <c r="C390" s="41" t="s">
        <v>82</v>
      </c>
      <c r="D390" s="41" t="s">
        <v>28</v>
      </c>
      <c r="E390" s="41" t="s">
        <v>334</v>
      </c>
      <c r="F390" s="41" t="s">
        <v>261</v>
      </c>
      <c r="G390" s="23">
        <f>560000-4800+1033814.7-210595.1</f>
        <v>1378419.5999999999</v>
      </c>
      <c r="H390" s="23">
        <v>370100</v>
      </c>
      <c r="I390" s="23">
        <v>370100</v>
      </c>
    </row>
    <row r="391" spans="1:9">
      <c r="A391" s="12" t="s">
        <v>267</v>
      </c>
      <c r="B391" s="13" t="s">
        <v>17</v>
      </c>
      <c r="C391" s="13" t="s">
        <v>82</v>
      </c>
      <c r="D391" s="13" t="s">
        <v>100</v>
      </c>
      <c r="E391" s="13"/>
      <c r="F391" s="13"/>
      <c r="G391" s="51">
        <f>G392+G395</f>
        <v>2023400</v>
      </c>
      <c r="H391" s="51">
        <f>H392+H395</f>
        <v>2282600</v>
      </c>
      <c r="I391" s="65">
        <f>I392+I395</f>
        <v>2359700</v>
      </c>
    </row>
    <row r="392" spans="1:9" ht="127.5">
      <c r="A392" s="12" t="s">
        <v>249</v>
      </c>
      <c r="B392" s="13" t="s">
        <v>17</v>
      </c>
      <c r="C392" s="13" t="s">
        <v>82</v>
      </c>
      <c r="D392" s="13" t="s">
        <v>100</v>
      </c>
      <c r="E392" s="13" t="s">
        <v>250</v>
      </c>
      <c r="F392" s="13"/>
      <c r="G392" s="51">
        <f>G393+G394</f>
        <v>164000</v>
      </c>
      <c r="H392" s="51">
        <f>H393+H394</f>
        <v>348500</v>
      </c>
      <c r="I392" s="51">
        <f>I393+I394</f>
        <v>348500</v>
      </c>
    </row>
    <row r="393" spans="1:9" ht="25.5">
      <c r="A393" s="12" t="s">
        <v>23</v>
      </c>
      <c r="B393" s="13" t="s">
        <v>17</v>
      </c>
      <c r="C393" s="13" t="s">
        <v>82</v>
      </c>
      <c r="D393" s="13" t="s">
        <v>100</v>
      </c>
      <c r="E393" s="13" t="s">
        <v>250</v>
      </c>
      <c r="F393" s="13" t="s">
        <v>24</v>
      </c>
      <c r="G393" s="23">
        <v>125960</v>
      </c>
      <c r="H393" s="23">
        <v>267600</v>
      </c>
      <c r="I393" s="23">
        <v>267600</v>
      </c>
    </row>
    <row r="394" spans="1:9" ht="38.25">
      <c r="A394" s="12" t="s">
        <v>25</v>
      </c>
      <c r="B394" s="13" t="s">
        <v>17</v>
      </c>
      <c r="C394" s="13" t="s">
        <v>82</v>
      </c>
      <c r="D394" s="13" t="s">
        <v>100</v>
      </c>
      <c r="E394" s="13" t="s">
        <v>250</v>
      </c>
      <c r="F394" s="13" t="s">
        <v>26</v>
      </c>
      <c r="G394" s="23">
        <v>38040</v>
      </c>
      <c r="H394" s="23">
        <v>80900</v>
      </c>
      <c r="I394" s="23">
        <v>80900</v>
      </c>
    </row>
    <row r="395" spans="1:9" ht="140.25">
      <c r="A395" s="12" t="s">
        <v>255</v>
      </c>
      <c r="B395" s="13" t="s">
        <v>17</v>
      </c>
      <c r="C395" s="13" t="s">
        <v>82</v>
      </c>
      <c r="D395" s="13" t="s">
        <v>100</v>
      </c>
      <c r="E395" s="13" t="s">
        <v>256</v>
      </c>
      <c r="F395" s="13"/>
      <c r="G395" s="51">
        <f>G396+G397+G398+G399</f>
        <v>1859400</v>
      </c>
      <c r="H395" s="51">
        <f>H396+H397+H398+H399</f>
        <v>1934100</v>
      </c>
      <c r="I395" s="51">
        <f>I396+I397+I398+I399</f>
        <v>2011200</v>
      </c>
    </row>
    <row r="396" spans="1:9" ht="25.5">
      <c r="A396" s="12" t="s">
        <v>23</v>
      </c>
      <c r="B396" s="13" t="s">
        <v>17</v>
      </c>
      <c r="C396" s="13" t="s">
        <v>82</v>
      </c>
      <c r="D396" s="13" t="s">
        <v>100</v>
      </c>
      <c r="E396" s="13" t="s">
        <v>256</v>
      </c>
      <c r="F396" s="13" t="s">
        <v>24</v>
      </c>
      <c r="G396" s="23">
        <v>785100</v>
      </c>
      <c r="H396" s="23">
        <v>824500</v>
      </c>
      <c r="I396" s="23">
        <v>824500</v>
      </c>
    </row>
    <row r="397" spans="1:9" ht="38.25">
      <c r="A397" s="12" t="s">
        <v>25</v>
      </c>
      <c r="B397" s="13" t="s">
        <v>17</v>
      </c>
      <c r="C397" s="13" t="s">
        <v>82</v>
      </c>
      <c r="D397" s="13" t="s">
        <v>100</v>
      </c>
      <c r="E397" s="13" t="s">
        <v>256</v>
      </c>
      <c r="F397" s="13" t="s">
        <v>26</v>
      </c>
      <c r="G397" s="23">
        <v>237100</v>
      </c>
      <c r="H397" s="23">
        <v>249000</v>
      </c>
      <c r="I397" s="23">
        <v>249000</v>
      </c>
    </row>
    <row r="398" spans="1:9">
      <c r="A398" s="12" t="s">
        <v>37</v>
      </c>
      <c r="B398" s="13" t="s">
        <v>17</v>
      </c>
      <c r="C398" s="13" t="s">
        <v>82</v>
      </c>
      <c r="D398" s="13" t="s">
        <v>100</v>
      </c>
      <c r="E398" s="13" t="s">
        <v>256</v>
      </c>
      <c r="F398" s="13" t="s">
        <v>38</v>
      </c>
      <c r="G398" s="23">
        <v>717200</v>
      </c>
      <c r="H398" s="23">
        <v>740600</v>
      </c>
      <c r="I398" s="23">
        <v>817700</v>
      </c>
    </row>
    <row r="399" spans="1:9">
      <c r="A399" s="12" t="s">
        <v>53</v>
      </c>
      <c r="B399" s="13" t="s">
        <v>17</v>
      </c>
      <c r="C399" s="13" t="s">
        <v>82</v>
      </c>
      <c r="D399" s="13" t="s">
        <v>100</v>
      </c>
      <c r="E399" s="13" t="s">
        <v>256</v>
      </c>
      <c r="F399" s="13" t="s">
        <v>54</v>
      </c>
      <c r="G399" s="23">
        <v>120000</v>
      </c>
      <c r="H399" s="23">
        <v>120000</v>
      </c>
      <c r="I399" s="23">
        <v>120000</v>
      </c>
    </row>
    <row r="400" spans="1:9">
      <c r="A400" s="12" t="s">
        <v>268</v>
      </c>
      <c r="B400" s="13" t="s">
        <v>17</v>
      </c>
      <c r="C400" s="13" t="s">
        <v>40</v>
      </c>
      <c r="D400" s="13" t="s">
        <v>20</v>
      </c>
      <c r="E400" s="13"/>
      <c r="F400" s="13"/>
      <c r="G400" s="51">
        <f>G401+G403+G405</f>
        <v>10788053</v>
      </c>
      <c r="H400" s="51">
        <f>H401+H403+H405</f>
        <v>9944400</v>
      </c>
      <c r="I400" s="65">
        <f>I401+I403+I405</f>
        <v>9717400</v>
      </c>
    </row>
    <row r="401" spans="1:12" ht="38.25">
      <c r="A401" s="12" t="s">
        <v>272</v>
      </c>
      <c r="B401" s="13" t="s">
        <v>17</v>
      </c>
      <c r="C401" s="13" t="s">
        <v>40</v>
      </c>
      <c r="D401" s="13" t="s">
        <v>20</v>
      </c>
      <c r="E401" s="13" t="s">
        <v>273</v>
      </c>
      <c r="F401" s="13"/>
      <c r="G401" s="51">
        <f>G402</f>
        <v>122400</v>
      </c>
      <c r="H401" s="51">
        <f>H402</f>
        <v>0</v>
      </c>
      <c r="I401" s="51">
        <f>I402</f>
        <v>0</v>
      </c>
    </row>
    <row r="402" spans="1:12">
      <c r="A402" s="12" t="s">
        <v>331</v>
      </c>
      <c r="B402" s="13" t="s">
        <v>17</v>
      </c>
      <c r="C402" s="13" t="s">
        <v>40</v>
      </c>
      <c r="D402" s="13" t="s">
        <v>20</v>
      </c>
      <c r="E402" s="13" t="s">
        <v>273</v>
      </c>
      <c r="F402" s="43" t="s">
        <v>181</v>
      </c>
      <c r="G402" s="23">
        <v>122400</v>
      </c>
      <c r="H402" s="23">
        <v>0</v>
      </c>
      <c r="I402" s="23">
        <v>0</v>
      </c>
    </row>
    <row r="403" spans="1:12" ht="51">
      <c r="A403" s="12" t="s">
        <v>195</v>
      </c>
      <c r="B403" s="13" t="s">
        <v>17</v>
      </c>
      <c r="C403" s="13" t="s">
        <v>40</v>
      </c>
      <c r="D403" s="13" t="s">
        <v>20</v>
      </c>
      <c r="E403" s="13" t="s">
        <v>274</v>
      </c>
      <c r="F403" s="13"/>
      <c r="G403" s="51">
        <f>G404</f>
        <v>52500</v>
      </c>
      <c r="H403" s="51">
        <f>H404</f>
        <v>0</v>
      </c>
      <c r="I403" s="51">
        <f>I404</f>
        <v>0</v>
      </c>
    </row>
    <row r="404" spans="1:12">
      <c r="A404" s="12" t="s">
        <v>331</v>
      </c>
      <c r="B404" s="13" t="s">
        <v>17</v>
      </c>
      <c r="C404" s="13" t="s">
        <v>40</v>
      </c>
      <c r="D404" s="13" t="s">
        <v>20</v>
      </c>
      <c r="E404" s="13" t="s">
        <v>274</v>
      </c>
      <c r="F404" s="43" t="s">
        <v>181</v>
      </c>
      <c r="G404" s="23">
        <v>52500</v>
      </c>
      <c r="H404" s="23">
        <v>0</v>
      </c>
      <c r="I404" s="23">
        <v>0</v>
      </c>
    </row>
    <row r="405" spans="1:12" ht="25.5">
      <c r="A405" s="12" t="s">
        <v>270</v>
      </c>
      <c r="B405" s="17" t="s">
        <v>17</v>
      </c>
      <c r="C405" s="17" t="s">
        <v>40</v>
      </c>
      <c r="D405" s="17" t="s">
        <v>20</v>
      </c>
      <c r="E405" s="28" t="s">
        <v>313</v>
      </c>
      <c r="F405" s="17"/>
      <c r="G405" s="51">
        <f>G406+G407+G408</f>
        <v>10613153</v>
      </c>
      <c r="H405" s="51">
        <f>H406+H407</f>
        <v>9944400</v>
      </c>
      <c r="I405" s="51">
        <f>I406+I407</f>
        <v>9717400</v>
      </c>
      <c r="J405" s="1" t="s">
        <v>309</v>
      </c>
      <c r="L405" s="1" t="s">
        <v>309</v>
      </c>
    </row>
    <row r="406" spans="1:12" ht="51">
      <c r="A406" s="12" t="s">
        <v>170</v>
      </c>
      <c r="B406" s="61" t="s">
        <v>17</v>
      </c>
      <c r="C406" s="21" t="s">
        <v>40</v>
      </c>
      <c r="D406" s="21" t="s">
        <v>20</v>
      </c>
      <c r="E406" s="21" t="s">
        <v>269</v>
      </c>
      <c r="F406" s="21" t="s">
        <v>171</v>
      </c>
      <c r="G406" s="23">
        <v>153300</v>
      </c>
      <c r="H406" s="23">
        <v>159400</v>
      </c>
      <c r="I406" s="23">
        <v>165800</v>
      </c>
    </row>
    <row r="407" spans="1:12" ht="51">
      <c r="A407" s="12" t="s">
        <v>170</v>
      </c>
      <c r="B407" s="17" t="s">
        <v>17</v>
      </c>
      <c r="C407" s="17" t="s">
        <v>40</v>
      </c>
      <c r="D407" s="17" t="s">
        <v>20</v>
      </c>
      <c r="E407" s="17" t="s">
        <v>271</v>
      </c>
      <c r="F407" s="17" t="s">
        <v>171</v>
      </c>
      <c r="G407" s="23">
        <f>10364900+10000+5000</f>
        <v>10379900</v>
      </c>
      <c r="H407" s="23">
        <v>9785000</v>
      </c>
      <c r="I407" s="23">
        <v>9551600</v>
      </c>
    </row>
    <row r="408" spans="1:12" ht="63.75" customHeight="1">
      <c r="A408" s="12" t="s">
        <v>437</v>
      </c>
      <c r="B408" s="63" t="s">
        <v>17</v>
      </c>
      <c r="C408" s="63" t="s">
        <v>40</v>
      </c>
      <c r="D408" s="63" t="s">
        <v>20</v>
      </c>
      <c r="E408" s="63"/>
      <c r="F408" s="63"/>
      <c r="G408" s="51">
        <f>G409</f>
        <v>79953</v>
      </c>
      <c r="H408" s="23">
        <v>0</v>
      </c>
      <c r="I408" s="23">
        <v>0</v>
      </c>
    </row>
    <row r="409" spans="1:12" ht="51.75" customHeight="1">
      <c r="A409" s="12" t="s">
        <v>170</v>
      </c>
      <c r="B409" s="63" t="s">
        <v>17</v>
      </c>
      <c r="C409" s="63" t="s">
        <v>40</v>
      </c>
      <c r="D409" s="63" t="s">
        <v>20</v>
      </c>
      <c r="E409" s="63" t="s">
        <v>438</v>
      </c>
      <c r="F409" s="63" t="s">
        <v>171</v>
      </c>
      <c r="G409" s="23">
        <v>79953</v>
      </c>
      <c r="H409" s="23">
        <v>0</v>
      </c>
      <c r="I409" s="23">
        <v>0</v>
      </c>
    </row>
    <row r="410" spans="1:12">
      <c r="A410" s="12" t="s">
        <v>322</v>
      </c>
      <c r="B410" s="13" t="s">
        <v>17</v>
      </c>
      <c r="C410" s="13" t="s">
        <v>123</v>
      </c>
      <c r="D410" s="13" t="s">
        <v>20</v>
      </c>
      <c r="E410" s="13"/>
      <c r="F410" s="13"/>
      <c r="G410" s="51">
        <f t="shared" ref="G410:I411" si="6">G411</f>
        <v>200000</v>
      </c>
      <c r="H410" s="51">
        <f t="shared" si="6"/>
        <v>200000</v>
      </c>
      <c r="I410" s="65">
        <f t="shared" si="6"/>
        <v>200000</v>
      </c>
    </row>
    <row r="411" spans="1:12" ht="38.25">
      <c r="A411" s="12" t="s">
        <v>276</v>
      </c>
      <c r="B411" s="13" t="s">
        <v>17</v>
      </c>
      <c r="C411" s="13" t="s">
        <v>123</v>
      </c>
      <c r="D411" s="13" t="s">
        <v>20</v>
      </c>
      <c r="E411" s="13" t="s">
        <v>277</v>
      </c>
      <c r="F411" s="13"/>
      <c r="G411" s="23">
        <f t="shared" si="6"/>
        <v>200000</v>
      </c>
      <c r="H411" s="23">
        <f t="shared" si="6"/>
        <v>200000</v>
      </c>
      <c r="I411" s="23">
        <f t="shared" si="6"/>
        <v>200000</v>
      </c>
    </row>
    <row r="412" spans="1:12" ht="51">
      <c r="A412" s="12" t="s">
        <v>107</v>
      </c>
      <c r="B412" s="13" t="s">
        <v>17</v>
      </c>
      <c r="C412" s="13" t="s">
        <v>123</v>
      </c>
      <c r="D412" s="13" t="s">
        <v>20</v>
      </c>
      <c r="E412" s="13" t="s">
        <v>277</v>
      </c>
      <c r="F412" s="43" t="s">
        <v>108</v>
      </c>
      <c r="G412" s="23">
        <v>200000</v>
      </c>
      <c r="H412" s="23">
        <v>200000</v>
      </c>
      <c r="I412" s="23">
        <v>200000</v>
      </c>
    </row>
    <row r="413" spans="1:12">
      <c r="A413" s="19" t="s">
        <v>278</v>
      </c>
      <c r="B413" s="13" t="s">
        <v>279</v>
      </c>
      <c r="C413" s="13"/>
      <c r="D413" s="13"/>
      <c r="E413" s="13"/>
      <c r="F413" s="13"/>
      <c r="G413" s="27">
        <f>G414+G427</f>
        <v>2234840.8099999996</v>
      </c>
      <c r="H413" s="27">
        <f>H414+H427</f>
        <v>2294000</v>
      </c>
      <c r="I413" s="27">
        <f>I414+I427</f>
        <v>2309000</v>
      </c>
    </row>
    <row r="414" spans="1:12" ht="38.25">
      <c r="A414" s="12" t="s">
        <v>280</v>
      </c>
      <c r="B414" s="13" t="s">
        <v>279</v>
      </c>
      <c r="C414" s="13" t="s">
        <v>19</v>
      </c>
      <c r="D414" s="13" t="s">
        <v>72</v>
      </c>
      <c r="E414" s="13"/>
      <c r="F414" s="13"/>
      <c r="G414" s="51">
        <f>G415+G418+G421+G424</f>
        <v>2129840.8099999996</v>
      </c>
      <c r="H414" s="51">
        <f>H415+H421</f>
        <v>2184000</v>
      </c>
      <c r="I414" s="51">
        <f>I415+I421</f>
        <v>2184000</v>
      </c>
    </row>
    <row r="415" spans="1:12" ht="25.5">
      <c r="A415" s="12" t="s">
        <v>281</v>
      </c>
      <c r="B415" s="13" t="s">
        <v>279</v>
      </c>
      <c r="C415" s="13" t="s">
        <v>19</v>
      </c>
      <c r="D415" s="13" t="s">
        <v>72</v>
      </c>
      <c r="E415" s="13" t="s">
        <v>282</v>
      </c>
      <c r="F415" s="13"/>
      <c r="G415" s="23">
        <f>G416+G417</f>
        <v>1366000</v>
      </c>
      <c r="H415" s="23">
        <f>H416+H417</f>
        <v>1424800</v>
      </c>
      <c r="I415" s="23">
        <f>I416+I417</f>
        <v>1424800</v>
      </c>
    </row>
    <row r="416" spans="1:12" ht="25.5">
      <c r="A416" s="12" t="s">
        <v>23</v>
      </c>
      <c r="B416" s="13" t="s">
        <v>279</v>
      </c>
      <c r="C416" s="13" t="s">
        <v>19</v>
      </c>
      <c r="D416" s="13" t="s">
        <v>72</v>
      </c>
      <c r="E416" s="13" t="s">
        <v>282</v>
      </c>
      <c r="F416" s="13" t="s">
        <v>24</v>
      </c>
      <c r="G416" s="23">
        <v>1115327.1599999999</v>
      </c>
      <c r="H416" s="23">
        <v>1159940</v>
      </c>
      <c r="I416" s="23">
        <v>1206338</v>
      </c>
    </row>
    <row r="417" spans="1:9" ht="38.25">
      <c r="A417" s="12" t="s">
        <v>25</v>
      </c>
      <c r="B417" s="13" t="s">
        <v>279</v>
      </c>
      <c r="C417" s="13" t="s">
        <v>19</v>
      </c>
      <c r="D417" s="13" t="s">
        <v>72</v>
      </c>
      <c r="E417" s="13" t="s">
        <v>282</v>
      </c>
      <c r="F417" s="13" t="s">
        <v>26</v>
      </c>
      <c r="G417" s="23">
        <v>250672.84</v>
      </c>
      <c r="H417" s="23">
        <v>264860</v>
      </c>
      <c r="I417" s="23">
        <v>218462</v>
      </c>
    </row>
    <row r="418" spans="1:9" ht="81" customHeight="1">
      <c r="A418" s="12" t="s">
        <v>422</v>
      </c>
      <c r="B418" s="63" t="s">
        <v>279</v>
      </c>
      <c r="C418" s="63" t="s">
        <v>19</v>
      </c>
      <c r="D418" s="63" t="s">
        <v>72</v>
      </c>
      <c r="E418" s="63"/>
      <c r="F418" s="63"/>
      <c r="G418" s="51">
        <f>G419+G420</f>
        <v>17867.22</v>
      </c>
      <c r="H418" s="23">
        <v>0</v>
      </c>
      <c r="I418" s="23">
        <v>0</v>
      </c>
    </row>
    <row r="419" spans="1:9" ht="27" customHeight="1">
      <c r="A419" s="12" t="s">
        <v>23</v>
      </c>
      <c r="B419" s="63" t="s">
        <v>279</v>
      </c>
      <c r="C419" s="63" t="s">
        <v>19</v>
      </c>
      <c r="D419" s="63" t="s">
        <v>72</v>
      </c>
      <c r="E419" s="63" t="s">
        <v>423</v>
      </c>
      <c r="F419" s="63" t="s">
        <v>24</v>
      </c>
      <c r="G419" s="23">
        <v>13722.9</v>
      </c>
      <c r="H419" s="23">
        <v>0</v>
      </c>
      <c r="I419" s="23">
        <v>0</v>
      </c>
    </row>
    <row r="420" spans="1:9" ht="37.5" customHeight="1">
      <c r="A420" s="12" t="s">
        <v>25</v>
      </c>
      <c r="B420" s="63" t="s">
        <v>279</v>
      </c>
      <c r="C420" s="63" t="s">
        <v>19</v>
      </c>
      <c r="D420" s="63" t="s">
        <v>72</v>
      </c>
      <c r="E420" s="63" t="s">
        <v>423</v>
      </c>
      <c r="F420" s="63" t="s">
        <v>26</v>
      </c>
      <c r="G420" s="23">
        <v>4144.32</v>
      </c>
      <c r="H420" s="23">
        <v>0</v>
      </c>
      <c r="I420" s="23">
        <v>0</v>
      </c>
    </row>
    <row r="421" spans="1:9" ht="25.5">
      <c r="A421" s="12" t="s">
        <v>29</v>
      </c>
      <c r="B421" s="13" t="s">
        <v>279</v>
      </c>
      <c r="C421" s="13" t="s">
        <v>19</v>
      </c>
      <c r="D421" s="13" t="s">
        <v>72</v>
      </c>
      <c r="E421" s="13" t="s">
        <v>30</v>
      </c>
      <c r="F421" s="13"/>
      <c r="G421" s="51">
        <f>G422+G423</f>
        <v>730000</v>
      </c>
      <c r="H421" s="23">
        <f>H422+H423</f>
        <v>759200</v>
      </c>
      <c r="I421" s="23">
        <f>I422+I423</f>
        <v>759200</v>
      </c>
    </row>
    <row r="422" spans="1:9" ht="25.5">
      <c r="A422" s="12" t="s">
        <v>23</v>
      </c>
      <c r="B422" s="13" t="s">
        <v>279</v>
      </c>
      <c r="C422" s="13" t="s">
        <v>19</v>
      </c>
      <c r="D422" s="13" t="s">
        <v>72</v>
      </c>
      <c r="E422" s="13" t="s">
        <v>30</v>
      </c>
      <c r="F422" s="13" t="s">
        <v>24</v>
      </c>
      <c r="G422" s="23">
        <v>569272.76</v>
      </c>
      <c r="H422" s="23">
        <v>592044</v>
      </c>
      <c r="I422" s="23">
        <v>615726</v>
      </c>
    </row>
    <row r="423" spans="1:9" ht="38.25">
      <c r="A423" s="12" t="s">
        <v>25</v>
      </c>
      <c r="B423" s="13" t="s">
        <v>279</v>
      </c>
      <c r="C423" s="13" t="s">
        <v>19</v>
      </c>
      <c r="D423" s="13" t="s">
        <v>72</v>
      </c>
      <c r="E423" s="13" t="s">
        <v>30</v>
      </c>
      <c r="F423" s="13" t="s">
        <v>26</v>
      </c>
      <c r="G423" s="23">
        <v>160727.24</v>
      </c>
      <c r="H423" s="23">
        <v>167156</v>
      </c>
      <c r="I423" s="23">
        <v>143474</v>
      </c>
    </row>
    <row r="424" spans="1:9" ht="101.25" customHeight="1">
      <c r="A424" s="12" t="s">
        <v>424</v>
      </c>
      <c r="B424" s="63" t="s">
        <v>279</v>
      </c>
      <c r="C424" s="63" t="s">
        <v>19</v>
      </c>
      <c r="D424" s="63" t="s">
        <v>72</v>
      </c>
      <c r="E424" s="63"/>
      <c r="F424" s="63"/>
      <c r="G424" s="51">
        <f>G425+G426</f>
        <v>15973.59</v>
      </c>
      <c r="H424" s="23">
        <v>0</v>
      </c>
      <c r="I424" s="23">
        <v>0</v>
      </c>
    </row>
    <row r="425" spans="1:9" ht="27" customHeight="1">
      <c r="A425" s="12" t="s">
        <v>23</v>
      </c>
      <c r="B425" s="63" t="s">
        <v>279</v>
      </c>
      <c r="C425" s="63" t="s">
        <v>19</v>
      </c>
      <c r="D425" s="63" t="s">
        <v>72</v>
      </c>
      <c r="E425" s="63" t="s">
        <v>414</v>
      </c>
      <c r="F425" s="63" t="s">
        <v>24</v>
      </c>
      <c r="G425" s="23">
        <v>12268.5</v>
      </c>
      <c r="H425" s="23">
        <v>0</v>
      </c>
      <c r="I425" s="23">
        <v>0</v>
      </c>
    </row>
    <row r="426" spans="1:9" ht="42.75" customHeight="1">
      <c r="A426" s="12" t="s">
        <v>25</v>
      </c>
      <c r="B426" s="63" t="s">
        <v>279</v>
      </c>
      <c r="C426" s="63" t="s">
        <v>19</v>
      </c>
      <c r="D426" s="63" t="s">
        <v>72</v>
      </c>
      <c r="E426" s="63" t="s">
        <v>414</v>
      </c>
      <c r="F426" s="63" t="s">
        <v>26</v>
      </c>
      <c r="G426" s="23">
        <v>3705.09</v>
      </c>
      <c r="H426" s="23">
        <v>0</v>
      </c>
      <c r="I426" s="23">
        <v>0</v>
      </c>
    </row>
    <row r="427" spans="1:9">
      <c r="A427" s="12" t="s">
        <v>45</v>
      </c>
      <c r="B427" s="13" t="s">
        <v>279</v>
      </c>
      <c r="C427" s="13" t="s">
        <v>19</v>
      </c>
      <c r="D427" s="13" t="s">
        <v>46</v>
      </c>
      <c r="E427" s="13"/>
      <c r="F427" s="13"/>
      <c r="G427" s="51">
        <f>G428+G430</f>
        <v>105000</v>
      </c>
      <c r="H427" s="51">
        <f>H428+H430</f>
        <v>110000</v>
      </c>
      <c r="I427" s="51">
        <f>I428+I430</f>
        <v>125000</v>
      </c>
    </row>
    <row r="428" spans="1:9" ht="25.5">
      <c r="A428" s="12" t="s">
        <v>29</v>
      </c>
      <c r="B428" s="13" t="s">
        <v>279</v>
      </c>
      <c r="C428" s="13" t="s">
        <v>19</v>
      </c>
      <c r="D428" s="13" t="s">
        <v>46</v>
      </c>
      <c r="E428" s="13" t="s">
        <v>30</v>
      </c>
      <c r="F428" s="13"/>
      <c r="G428" s="51">
        <f>G429</f>
        <v>6000</v>
      </c>
      <c r="H428" s="51">
        <f>H429</f>
        <v>0</v>
      </c>
      <c r="I428" s="51">
        <f>I429</f>
        <v>0</v>
      </c>
    </row>
    <row r="429" spans="1:9" ht="38.25">
      <c r="A429" s="12" t="s">
        <v>69</v>
      </c>
      <c r="B429" s="13" t="s">
        <v>279</v>
      </c>
      <c r="C429" s="13" t="s">
        <v>19</v>
      </c>
      <c r="D429" s="13" t="s">
        <v>46</v>
      </c>
      <c r="E429" s="13" t="s">
        <v>30</v>
      </c>
      <c r="F429" s="13" t="s">
        <v>70</v>
      </c>
      <c r="G429" s="23">
        <v>6000</v>
      </c>
      <c r="H429" s="23">
        <v>0</v>
      </c>
      <c r="I429" s="23">
        <v>0</v>
      </c>
    </row>
    <row r="430" spans="1:9">
      <c r="A430" s="12" t="s">
        <v>275</v>
      </c>
      <c r="B430" s="13" t="s">
        <v>279</v>
      </c>
      <c r="C430" s="13" t="s">
        <v>123</v>
      </c>
      <c r="D430" s="13" t="s">
        <v>20</v>
      </c>
      <c r="E430" s="13"/>
      <c r="F430" s="13"/>
      <c r="G430" s="51">
        <f t="shared" ref="G430:I431" si="7">G431</f>
        <v>99000</v>
      </c>
      <c r="H430" s="51">
        <f t="shared" si="7"/>
        <v>110000</v>
      </c>
      <c r="I430" s="51">
        <f t="shared" si="7"/>
        <v>125000</v>
      </c>
    </row>
    <row r="431" spans="1:9" ht="25.5">
      <c r="A431" s="12" t="s">
        <v>283</v>
      </c>
      <c r="B431" s="13" t="s">
        <v>279</v>
      </c>
      <c r="C431" s="13" t="s">
        <v>123</v>
      </c>
      <c r="D431" s="13" t="s">
        <v>20</v>
      </c>
      <c r="E431" s="13" t="s">
        <v>284</v>
      </c>
      <c r="F431" s="13"/>
      <c r="G431" s="23">
        <f t="shared" si="7"/>
        <v>99000</v>
      </c>
      <c r="H431" s="23">
        <f t="shared" si="7"/>
        <v>110000</v>
      </c>
      <c r="I431" s="23">
        <f t="shared" si="7"/>
        <v>125000</v>
      </c>
    </row>
    <row r="432" spans="1:9" ht="51">
      <c r="A432" s="12" t="s">
        <v>107</v>
      </c>
      <c r="B432" s="13" t="s">
        <v>279</v>
      </c>
      <c r="C432" s="13" t="s">
        <v>123</v>
      </c>
      <c r="D432" s="13" t="s">
        <v>20</v>
      </c>
      <c r="E432" s="13" t="s">
        <v>284</v>
      </c>
      <c r="F432" s="43" t="s">
        <v>108</v>
      </c>
      <c r="G432" s="23">
        <v>99000</v>
      </c>
      <c r="H432" s="23">
        <v>110000</v>
      </c>
      <c r="I432" s="23">
        <v>125000</v>
      </c>
    </row>
    <row r="433" spans="1:9">
      <c r="A433" s="19" t="s">
        <v>285</v>
      </c>
      <c r="B433" s="13" t="s">
        <v>286</v>
      </c>
      <c r="C433" s="13"/>
      <c r="D433" s="13"/>
      <c r="E433" s="13"/>
      <c r="F433" s="13"/>
      <c r="G433" s="27">
        <f>G434+G447</f>
        <v>1402470.51</v>
      </c>
      <c r="H433" s="27">
        <f>H434</f>
        <v>1913000</v>
      </c>
      <c r="I433" s="27">
        <f>I434</f>
        <v>1913000</v>
      </c>
    </row>
    <row r="434" spans="1:9" ht="38.25">
      <c r="A434" s="12" t="s">
        <v>287</v>
      </c>
      <c r="B434" s="13" t="s">
        <v>286</v>
      </c>
      <c r="C434" s="13" t="s">
        <v>19</v>
      </c>
      <c r="D434" s="13" t="s">
        <v>100</v>
      </c>
      <c r="E434" s="13"/>
      <c r="F434" s="13"/>
      <c r="G434" s="51">
        <f>G435+G438+G441+G444</f>
        <v>1392746.51</v>
      </c>
      <c r="H434" s="51">
        <f>H435+H441+H447</f>
        <v>1913000</v>
      </c>
      <c r="I434" s="51">
        <f>I435+I441+I447</f>
        <v>1913000</v>
      </c>
    </row>
    <row r="435" spans="1:9" ht="25.5">
      <c r="A435" s="12" t="s">
        <v>29</v>
      </c>
      <c r="B435" s="13" t="s">
        <v>286</v>
      </c>
      <c r="C435" s="13" t="s">
        <v>19</v>
      </c>
      <c r="D435" s="13" t="s">
        <v>100</v>
      </c>
      <c r="E435" s="13" t="s">
        <v>30</v>
      </c>
      <c r="F435" s="13"/>
      <c r="G435" s="51">
        <f>G436+G437</f>
        <v>544500</v>
      </c>
      <c r="H435" s="51">
        <f>H436+H437</f>
        <v>915000</v>
      </c>
      <c r="I435" s="51">
        <f>I436+I437</f>
        <v>915000</v>
      </c>
    </row>
    <row r="436" spans="1:9" ht="25.5">
      <c r="A436" s="12" t="s">
        <v>23</v>
      </c>
      <c r="B436" s="13" t="s">
        <v>286</v>
      </c>
      <c r="C436" s="13" t="s">
        <v>19</v>
      </c>
      <c r="D436" s="13" t="s">
        <v>100</v>
      </c>
      <c r="E436" s="13" t="s">
        <v>30</v>
      </c>
      <c r="F436" s="13" t="s">
        <v>24</v>
      </c>
      <c r="G436" s="23">
        <v>418200</v>
      </c>
      <c r="H436" s="23">
        <v>703000</v>
      </c>
      <c r="I436" s="23">
        <v>703000</v>
      </c>
    </row>
    <row r="437" spans="1:9" ht="38.25">
      <c r="A437" s="12" t="s">
        <v>25</v>
      </c>
      <c r="B437" s="13" t="s">
        <v>286</v>
      </c>
      <c r="C437" s="13" t="s">
        <v>19</v>
      </c>
      <c r="D437" s="13" t="s">
        <v>100</v>
      </c>
      <c r="E437" s="13" t="s">
        <v>30</v>
      </c>
      <c r="F437" s="13" t="s">
        <v>26</v>
      </c>
      <c r="G437" s="23">
        <v>126300</v>
      </c>
      <c r="H437" s="23">
        <v>212000</v>
      </c>
      <c r="I437" s="23">
        <v>212000</v>
      </c>
    </row>
    <row r="438" spans="1:9" ht="90" customHeight="1">
      <c r="A438" s="12" t="s">
        <v>413</v>
      </c>
      <c r="B438" s="63" t="s">
        <v>286</v>
      </c>
      <c r="C438" s="63" t="s">
        <v>19</v>
      </c>
      <c r="D438" s="63" t="s">
        <v>100</v>
      </c>
      <c r="E438" s="63"/>
      <c r="F438" s="63"/>
      <c r="G438" s="51">
        <f>G439+G440</f>
        <v>9177.08</v>
      </c>
      <c r="H438" s="23">
        <v>0</v>
      </c>
      <c r="I438" s="23">
        <v>0</v>
      </c>
    </row>
    <row r="439" spans="1:9" ht="28.5" customHeight="1">
      <c r="A439" s="12" t="s">
        <v>23</v>
      </c>
      <c r="B439" s="63" t="s">
        <v>286</v>
      </c>
      <c r="C439" s="63" t="s">
        <v>19</v>
      </c>
      <c r="D439" s="63" t="s">
        <v>100</v>
      </c>
      <c r="E439" s="63" t="s">
        <v>414</v>
      </c>
      <c r="F439" s="63" t="s">
        <v>24</v>
      </c>
      <c r="G439" s="23">
        <v>7048.45</v>
      </c>
      <c r="H439" s="23">
        <v>0</v>
      </c>
      <c r="I439" s="23">
        <v>0</v>
      </c>
    </row>
    <row r="440" spans="1:9" ht="45.75" customHeight="1">
      <c r="A440" s="12" t="s">
        <v>25</v>
      </c>
      <c r="B440" s="63" t="s">
        <v>286</v>
      </c>
      <c r="C440" s="63" t="s">
        <v>19</v>
      </c>
      <c r="D440" s="63" t="s">
        <v>100</v>
      </c>
      <c r="E440" s="63" t="s">
        <v>414</v>
      </c>
      <c r="F440" s="63" t="s">
        <v>26</v>
      </c>
      <c r="G440" s="23">
        <v>2128.63</v>
      </c>
      <c r="H440" s="23">
        <v>0</v>
      </c>
      <c r="I440" s="23">
        <v>0</v>
      </c>
    </row>
    <row r="441" spans="1:9" ht="25.5">
      <c r="A441" s="12" t="s">
        <v>288</v>
      </c>
      <c r="B441" s="13" t="s">
        <v>286</v>
      </c>
      <c r="C441" s="13" t="s">
        <v>19</v>
      </c>
      <c r="D441" s="13" t="s">
        <v>100</v>
      </c>
      <c r="E441" s="13" t="s">
        <v>289</v>
      </c>
      <c r="F441" s="13"/>
      <c r="G441" s="51">
        <f>G442+G443</f>
        <v>825500</v>
      </c>
      <c r="H441" s="51">
        <f>H442+H443</f>
        <v>998000</v>
      </c>
      <c r="I441" s="51">
        <f>I442+I443</f>
        <v>998000</v>
      </c>
    </row>
    <row r="442" spans="1:9" ht="25.5">
      <c r="A442" s="12" t="s">
        <v>23</v>
      </c>
      <c r="B442" s="13" t="s">
        <v>286</v>
      </c>
      <c r="C442" s="13" t="s">
        <v>19</v>
      </c>
      <c r="D442" s="13" t="s">
        <v>100</v>
      </c>
      <c r="E442" s="13" t="s">
        <v>289</v>
      </c>
      <c r="F442" s="13" t="s">
        <v>24</v>
      </c>
      <c r="G442" s="23">
        <v>634100</v>
      </c>
      <c r="H442" s="23">
        <v>696600</v>
      </c>
      <c r="I442" s="23">
        <v>696600</v>
      </c>
    </row>
    <row r="443" spans="1:9" ht="38.25">
      <c r="A443" s="12" t="s">
        <v>25</v>
      </c>
      <c r="B443" s="13" t="s">
        <v>286</v>
      </c>
      <c r="C443" s="13" t="s">
        <v>19</v>
      </c>
      <c r="D443" s="13" t="s">
        <v>100</v>
      </c>
      <c r="E443" s="13" t="s">
        <v>289</v>
      </c>
      <c r="F443" s="13" t="s">
        <v>26</v>
      </c>
      <c r="G443" s="23">
        <v>191400</v>
      </c>
      <c r="H443" s="23">
        <v>301400</v>
      </c>
      <c r="I443" s="23">
        <v>301400</v>
      </c>
    </row>
    <row r="444" spans="1:9" ht="90.75" customHeight="1">
      <c r="A444" s="12" t="s">
        <v>427</v>
      </c>
      <c r="B444" s="63" t="s">
        <v>286</v>
      </c>
      <c r="C444" s="63" t="s">
        <v>19</v>
      </c>
      <c r="D444" s="63" t="s">
        <v>100</v>
      </c>
      <c r="E444" s="63"/>
      <c r="F444" s="63"/>
      <c r="G444" s="51">
        <f>G445+G446</f>
        <v>13569.43</v>
      </c>
      <c r="H444" s="23">
        <v>0</v>
      </c>
      <c r="I444" s="23">
        <v>0</v>
      </c>
    </row>
    <row r="445" spans="1:9" ht="24" customHeight="1">
      <c r="A445" s="12" t="s">
        <v>23</v>
      </c>
      <c r="B445" s="63" t="s">
        <v>286</v>
      </c>
      <c r="C445" s="63" t="s">
        <v>19</v>
      </c>
      <c r="D445" s="63" t="s">
        <v>100</v>
      </c>
      <c r="E445" s="63" t="s">
        <v>428</v>
      </c>
      <c r="F445" s="63" t="s">
        <v>24</v>
      </c>
      <c r="G445" s="23">
        <v>10421.99</v>
      </c>
      <c r="H445" s="23">
        <v>0</v>
      </c>
      <c r="I445" s="23">
        <v>0</v>
      </c>
    </row>
    <row r="446" spans="1:9" ht="44.25" customHeight="1">
      <c r="A446" s="12" t="s">
        <v>25</v>
      </c>
      <c r="B446" s="63" t="s">
        <v>286</v>
      </c>
      <c r="C446" s="63" t="s">
        <v>19</v>
      </c>
      <c r="D446" s="63" t="s">
        <v>100</v>
      </c>
      <c r="E446" s="63" t="s">
        <v>428</v>
      </c>
      <c r="F446" s="63" t="s">
        <v>26</v>
      </c>
      <c r="G446" s="23">
        <v>3147.44</v>
      </c>
      <c r="H446" s="23">
        <v>0</v>
      </c>
      <c r="I446" s="23">
        <v>0</v>
      </c>
    </row>
    <row r="447" spans="1:9">
      <c r="A447" s="12" t="s">
        <v>45</v>
      </c>
      <c r="B447" s="13" t="s">
        <v>286</v>
      </c>
      <c r="C447" s="13" t="s">
        <v>19</v>
      </c>
      <c r="D447" s="13" t="s">
        <v>46</v>
      </c>
      <c r="E447" s="13"/>
      <c r="F447" s="13"/>
      <c r="G447" s="51">
        <f>G448</f>
        <v>9724</v>
      </c>
      <c r="H447" s="51">
        <f>H448</f>
        <v>0</v>
      </c>
      <c r="I447" s="51">
        <f>I448</f>
        <v>0</v>
      </c>
    </row>
    <row r="448" spans="1:9" ht="25.5">
      <c r="A448" s="12" t="s">
        <v>29</v>
      </c>
      <c r="B448" s="13" t="s">
        <v>286</v>
      </c>
      <c r="C448" s="13" t="s">
        <v>19</v>
      </c>
      <c r="D448" s="13" t="s">
        <v>46</v>
      </c>
      <c r="E448" s="13" t="s">
        <v>30</v>
      </c>
      <c r="F448" s="13"/>
      <c r="G448" s="23">
        <f>G449</f>
        <v>9724</v>
      </c>
      <c r="H448" s="23">
        <v>0</v>
      </c>
      <c r="I448" s="23">
        <v>0</v>
      </c>
    </row>
    <row r="449" spans="1:12" ht="38.25">
      <c r="A449" s="12" t="s">
        <v>69</v>
      </c>
      <c r="B449" s="13" t="s">
        <v>286</v>
      </c>
      <c r="C449" s="13" t="s">
        <v>19</v>
      </c>
      <c r="D449" s="13" t="s">
        <v>46</v>
      </c>
      <c r="E449" s="13" t="s">
        <v>30</v>
      </c>
      <c r="F449" s="13" t="s">
        <v>70</v>
      </c>
      <c r="G449" s="23">
        <f>6000+3724</f>
        <v>9724</v>
      </c>
      <c r="H449" s="23">
        <v>0</v>
      </c>
      <c r="I449" s="23">
        <v>0</v>
      </c>
    </row>
    <row r="450" spans="1:12" ht="30">
      <c r="A450" s="19" t="s">
        <v>2</v>
      </c>
      <c r="B450" s="13" t="s">
        <v>290</v>
      </c>
      <c r="C450" s="13"/>
      <c r="D450" s="13"/>
      <c r="E450" s="13"/>
      <c r="F450" s="13"/>
      <c r="G450" s="27">
        <f>G451+G462</f>
        <v>3057110.03</v>
      </c>
      <c r="H450" s="27">
        <f>H451</f>
        <v>3258900</v>
      </c>
      <c r="I450" s="27">
        <f>I451</f>
        <v>3258900</v>
      </c>
    </row>
    <row r="451" spans="1:12" ht="38.25">
      <c r="A451" s="12" t="s">
        <v>287</v>
      </c>
      <c r="B451" s="13" t="s">
        <v>290</v>
      </c>
      <c r="C451" s="13" t="s">
        <v>19</v>
      </c>
      <c r="D451" s="13" t="s">
        <v>100</v>
      </c>
      <c r="E451" s="13"/>
      <c r="F451" s="13"/>
      <c r="G451" s="51">
        <f>G452+G456+G459</f>
        <v>3051110.03</v>
      </c>
      <c r="H451" s="51">
        <f>H452+H462</f>
        <v>3258900</v>
      </c>
      <c r="I451" s="51">
        <f>I452+I462</f>
        <v>3258900</v>
      </c>
    </row>
    <row r="452" spans="1:12" ht="25.5">
      <c r="A452" s="12" t="s">
        <v>291</v>
      </c>
      <c r="B452" s="13" t="s">
        <v>290</v>
      </c>
      <c r="C452" s="13" t="s">
        <v>19</v>
      </c>
      <c r="D452" s="13" t="s">
        <v>100</v>
      </c>
      <c r="E452" s="13" t="s">
        <v>292</v>
      </c>
      <c r="F452" s="13"/>
      <c r="G452" s="51">
        <f>G453+G454+G455</f>
        <v>3008276</v>
      </c>
      <c r="H452" s="51">
        <f>H453+H454+H455</f>
        <v>3258900</v>
      </c>
      <c r="I452" s="51">
        <f>I453+I454+I455</f>
        <v>3258900</v>
      </c>
    </row>
    <row r="453" spans="1:12" ht="25.5">
      <c r="A453" s="12" t="s">
        <v>23</v>
      </c>
      <c r="B453" s="13" t="s">
        <v>290</v>
      </c>
      <c r="C453" s="13" t="s">
        <v>19</v>
      </c>
      <c r="D453" s="13" t="s">
        <v>100</v>
      </c>
      <c r="E453" s="13" t="s">
        <v>292</v>
      </c>
      <c r="F453" s="13" t="s">
        <v>24</v>
      </c>
      <c r="G453" s="23">
        <f>2304147.48-3724-76805</f>
        <v>2223618.48</v>
      </c>
      <c r="H453" s="23">
        <v>2396313.38</v>
      </c>
      <c r="I453" s="23">
        <v>2396313.38</v>
      </c>
    </row>
    <row r="454" spans="1:12" ht="38.25">
      <c r="A454" s="12" t="s">
        <v>25</v>
      </c>
      <c r="B454" s="13" t="s">
        <v>290</v>
      </c>
      <c r="C454" s="13" t="s">
        <v>19</v>
      </c>
      <c r="D454" s="13" t="s">
        <v>100</v>
      </c>
      <c r="E454" s="13" t="s">
        <v>292</v>
      </c>
      <c r="F454" s="13" t="s">
        <v>26</v>
      </c>
      <c r="G454" s="23">
        <f>695852.52-23195</f>
        <v>672657.52</v>
      </c>
      <c r="H454" s="23">
        <v>723686.62</v>
      </c>
      <c r="I454" s="23">
        <v>723686.62</v>
      </c>
      <c r="J454" s="1" t="s">
        <v>309</v>
      </c>
    </row>
    <row r="455" spans="1:12">
      <c r="A455" s="12" t="s">
        <v>37</v>
      </c>
      <c r="B455" s="13" t="s">
        <v>290</v>
      </c>
      <c r="C455" s="13" t="s">
        <v>19</v>
      </c>
      <c r="D455" s="13" t="s">
        <v>100</v>
      </c>
      <c r="E455" s="13" t="s">
        <v>292</v>
      </c>
      <c r="F455" s="13" t="s">
        <v>38</v>
      </c>
      <c r="G455" s="23">
        <v>112000</v>
      </c>
      <c r="H455" s="23">
        <v>138900</v>
      </c>
      <c r="I455" s="23">
        <v>138900</v>
      </c>
    </row>
    <row r="456" spans="1:12" ht="90" customHeight="1">
      <c r="A456" s="12" t="s">
        <v>425</v>
      </c>
      <c r="B456" s="63" t="s">
        <v>290</v>
      </c>
      <c r="C456" s="63" t="s">
        <v>19</v>
      </c>
      <c r="D456" s="63" t="s">
        <v>100</v>
      </c>
      <c r="E456" s="63" t="s">
        <v>426</v>
      </c>
      <c r="F456" s="63"/>
      <c r="G456" s="51">
        <f>G457+G458</f>
        <v>38291.61</v>
      </c>
      <c r="H456" s="23">
        <v>0</v>
      </c>
      <c r="I456" s="23">
        <v>0</v>
      </c>
    </row>
    <row r="457" spans="1:12" ht="28.5" customHeight="1">
      <c r="A457" s="12" t="s">
        <v>23</v>
      </c>
      <c r="B457" s="63" t="s">
        <v>290</v>
      </c>
      <c r="C457" s="63" t="s">
        <v>19</v>
      </c>
      <c r="D457" s="63" t="s">
        <v>100</v>
      </c>
      <c r="E457" s="63" t="s">
        <v>426</v>
      </c>
      <c r="F457" s="63" t="s">
        <v>24</v>
      </c>
      <c r="G457" s="23">
        <v>29409.84</v>
      </c>
      <c r="H457" s="23">
        <v>0</v>
      </c>
      <c r="I457" s="23">
        <v>0</v>
      </c>
    </row>
    <row r="458" spans="1:12" ht="41.25" customHeight="1">
      <c r="A458" s="12" t="s">
        <v>25</v>
      </c>
      <c r="B458" s="63" t="s">
        <v>290</v>
      </c>
      <c r="C458" s="63" t="s">
        <v>19</v>
      </c>
      <c r="D458" s="63" t="s">
        <v>100</v>
      </c>
      <c r="E458" s="63" t="s">
        <v>426</v>
      </c>
      <c r="F458" s="63" t="s">
        <v>26</v>
      </c>
      <c r="G458" s="23">
        <v>8881.77</v>
      </c>
      <c r="H458" s="23">
        <v>0</v>
      </c>
      <c r="I458" s="23">
        <v>0</v>
      </c>
    </row>
    <row r="459" spans="1:12" ht="92.25" customHeight="1">
      <c r="A459" s="84" t="s">
        <v>455</v>
      </c>
      <c r="B459" s="63" t="s">
        <v>290</v>
      </c>
      <c r="C459" s="63" t="s">
        <v>19</v>
      </c>
      <c r="D459" s="63" t="s">
        <v>100</v>
      </c>
      <c r="E459" s="63" t="s">
        <v>454</v>
      </c>
      <c r="F459" s="63"/>
      <c r="G459" s="51">
        <f>G460+G461</f>
        <v>4542.42</v>
      </c>
      <c r="H459" s="23">
        <v>0</v>
      </c>
      <c r="I459" s="23">
        <v>0</v>
      </c>
    </row>
    <row r="460" spans="1:12" ht="27" customHeight="1">
      <c r="A460" s="12" t="s">
        <v>23</v>
      </c>
      <c r="B460" s="63" t="s">
        <v>290</v>
      </c>
      <c r="C460" s="63" t="s">
        <v>19</v>
      </c>
      <c r="D460" s="63" t="s">
        <v>100</v>
      </c>
      <c r="E460" s="63" t="s">
        <v>454</v>
      </c>
      <c r="F460" s="63" t="s">
        <v>24</v>
      </c>
      <c r="G460" s="23">
        <v>3488.8</v>
      </c>
      <c r="H460" s="23">
        <v>0</v>
      </c>
      <c r="I460" s="23">
        <v>0</v>
      </c>
    </row>
    <row r="461" spans="1:12" ht="27" customHeight="1">
      <c r="A461" s="12" t="s">
        <v>25</v>
      </c>
      <c r="B461" s="63" t="s">
        <v>290</v>
      </c>
      <c r="C461" s="63" t="s">
        <v>19</v>
      </c>
      <c r="D461" s="63" t="s">
        <v>100</v>
      </c>
      <c r="E461" s="63" t="s">
        <v>454</v>
      </c>
      <c r="F461" s="63" t="s">
        <v>26</v>
      </c>
      <c r="G461" s="23">
        <v>1053.6199999999999</v>
      </c>
      <c r="H461" s="23">
        <v>0</v>
      </c>
      <c r="I461" s="23">
        <v>0</v>
      </c>
    </row>
    <row r="462" spans="1:12">
      <c r="A462" s="12" t="s">
        <v>45</v>
      </c>
      <c r="B462" s="13" t="s">
        <v>290</v>
      </c>
      <c r="C462" s="13" t="s">
        <v>19</v>
      </c>
      <c r="D462" s="13" t="s">
        <v>46</v>
      </c>
      <c r="E462" s="13"/>
      <c r="F462" s="13"/>
      <c r="G462" s="51">
        <f>G463</f>
        <v>6000</v>
      </c>
      <c r="H462" s="51">
        <f>H463</f>
        <v>0</v>
      </c>
      <c r="I462" s="51">
        <f>I463</f>
        <v>0</v>
      </c>
      <c r="L462" s="1" t="s">
        <v>309</v>
      </c>
    </row>
    <row r="463" spans="1:12" ht="25.5">
      <c r="A463" s="12" t="s">
        <v>291</v>
      </c>
      <c r="B463" s="13" t="s">
        <v>290</v>
      </c>
      <c r="C463" s="13" t="s">
        <v>19</v>
      </c>
      <c r="D463" s="13" t="s">
        <v>46</v>
      </c>
      <c r="E463" s="13" t="s">
        <v>292</v>
      </c>
      <c r="F463" s="13"/>
      <c r="G463" s="23">
        <f>G464</f>
        <v>6000</v>
      </c>
      <c r="H463" s="23">
        <v>0</v>
      </c>
      <c r="I463" s="23">
        <v>0</v>
      </c>
    </row>
    <row r="464" spans="1:12">
      <c r="A464" s="12" t="s">
        <v>37</v>
      </c>
      <c r="B464" s="13" t="s">
        <v>290</v>
      </c>
      <c r="C464" s="13" t="s">
        <v>19</v>
      </c>
      <c r="D464" s="13" t="s">
        <v>46</v>
      </c>
      <c r="E464" s="13" t="s">
        <v>292</v>
      </c>
      <c r="F464" s="13" t="s">
        <v>38</v>
      </c>
      <c r="G464" s="23">
        <v>6000</v>
      </c>
      <c r="H464" s="23">
        <v>0</v>
      </c>
      <c r="I464" s="23">
        <v>0</v>
      </c>
      <c r="K464" s="1" t="s">
        <v>309</v>
      </c>
    </row>
    <row r="465" spans="1:11" ht="12.75" customHeight="1">
      <c r="A465" s="67" t="s">
        <v>293</v>
      </c>
      <c r="B465" s="68"/>
      <c r="C465" s="68"/>
      <c r="D465" s="68"/>
      <c r="E465" s="68"/>
      <c r="F465" s="68"/>
      <c r="G465" s="69">
        <f>G13+G413+G433+G450</f>
        <v>862987531.74000001</v>
      </c>
      <c r="H465" s="69">
        <f>H13+H413+H433+H450</f>
        <v>401054500</v>
      </c>
      <c r="I465" s="69">
        <f>I13+I413+I433+I450</f>
        <v>367057000</v>
      </c>
    </row>
    <row r="466" spans="1:11" ht="4.5" customHeight="1">
      <c r="A466" s="70"/>
      <c r="B466" s="70"/>
      <c r="C466" s="70"/>
      <c r="D466" s="70"/>
      <c r="E466" s="70"/>
      <c r="F466" s="70"/>
      <c r="G466" s="81"/>
      <c r="H466" s="70"/>
      <c r="I466" s="70"/>
    </row>
    <row r="467" spans="1:11" ht="12" customHeight="1">
      <c r="A467" s="98" t="s">
        <v>305</v>
      </c>
      <c r="B467" s="99"/>
      <c r="C467" s="99"/>
      <c r="D467" s="99"/>
      <c r="E467" s="99"/>
      <c r="F467" s="99"/>
      <c r="G467" s="99"/>
      <c r="H467" s="99"/>
      <c r="I467" s="99"/>
    </row>
    <row r="468" spans="1:11" ht="12.75" customHeight="1">
      <c r="A468" s="100" t="s">
        <v>8</v>
      </c>
      <c r="B468" s="100" t="s">
        <v>294</v>
      </c>
      <c r="C468" s="101"/>
      <c r="D468" s="101"/>
      <c r="E468" s="101"/>
      <c r="F468" s="101"/>
      <c r="G468" s="100" t="s">
        <v>10</v>
      </c>
      <c r="H468" s="101"/>
      <c r="I468" s="101"/>
    </row>
    <row r="469" spans="1:11" ht="48" customHeight="1">
      <c r="A469" s="101"/>
      <c r="B469" s="101"/>
      <c r="C469" s="101"/>
      <c r="D469" s="101"/>
      <c r="E469" s="101"/>
      <c r="F469" s="101"/>
      <c r="G469" s="71" t="s">
        <v>15</v>
      </c>
      <c r="H469" s="71" t="s">
        <v>16</v>
      </c>
      <c r="I469" s="71" t="s">
        <v>314</v>
      </c>
      <c r="K469" s="1" t="s">
        <v>309</v>
      </c>
    </row>
    <row r="470" spans="1:11" ht="12.75" customHeight="1">
      <c r="A470" s="71">
        <v>1</v>
      </c>
      <c r="B470" s="100">
        <v>2</v>
      </c>
      <c r="C470" s="101"/>
      <c r="D470" s="101"/>
      <c r="E470" s="101"/>
      <c r="F470" s="101"/>
      <c r="G470" s="71">
        <v>3</v>
      </c>
      <c r="H470" s="71">
        <v>4</v>
      </c>
      <c r="I470" s="71">
        <v>5</v>
      </c>
    </row>
    <row r="471" spans="1:11" ht="25.5">
      <c r="A471" s="59" t="s">
        <v>295</v>
      </c>
      <c r="B471" s="102" t="s">
        <v>296</v>
      </c>
      <c r="C471" s="103"/>
      <c r="D471" s="103"/>
      <c r="E471" s="103"/>
      <c r="F471" s="103"/>
      <c r="G471" s="52">
        <v>-854549807.70000005</v>
      </c>
      <c r="H471" s="52">
        <v>-401054500</v>
      </c>
      <c r="I471" s="52">
        <v>-367057000</v>
      </c>
    </row>
    <row r="472" spans="1:11" ht="25.5">
      <c r="A472" s="59" t="s">
        <v>297</v>
      </c>
      <c r="B472" s="102" t="s">
        <v>298</v>
      </c>
      <c r="C472" s="103"/>
      <c r="D472" s="103"/>
      <c r="E472" s="103"/>
      <c r="F472" s="103"/>
      <c r="G472" s="52">
        <v>862987531.74000001</v>
      </c>
      <c r="H472" s="52">
        <v>401054500</v>
      </c>
      <c r="I472" s="52">
        <v>367057000</v>
      </c>
      <c r="K472" s="1" t="s">
        <v>309</v>
      </c>
    </row>
    <row r="473" spans="1:11" ht="12" customHeight="1">
      <c r="A473" s="14" t="s">
        <v>293</v>
      </c>
      <c r="B473" s="104"/>
      <c r="C473" s="105"/>
      <c r="D473" s="105"/>
      <c r="E473" s="105"/>
      <c r="F473" s="105"/>
      <c r="G473" s="37">
        <f>G472+G471</f>
        <v>8437724.0399999619</v>
      </c>
      <c r="H473" s="37">
        <f>H472+H471</f>
        <v>0</v>
      </c>
      <c r="I473" s="37">
        <f>I472+I471</f>
        <v>0</v>
      </c>
    </row>
    <row r="474" spans="1:11" ht="9.75" customHeight="1">
      <c r="A474" s="2"/>
      <c r="B474" s="2"/>
      <c r="C474" s="2"/>
      <c r="D474" s="2"/>
      <c r="E474" s="2"/>
      <c r="F474" s="2"/>
      <c r="G474" s="2"/>
      <c r="H474" s="2"/>
      <c r="I474" s="2"/>
    </row>
    <row r="475" spans="1:11" ht="14.25" customHeight="1">
      <c r="A475" s="2" t="s">
        <v>311</v>
      </c>
      <c r="B475" s="2" t="s">
        <v>299</v>
      </c>
      <c r="C475" s="106" t="s">
        <v>310</v>
      </c>
      <c r="D475" s="107"/>
      <c r="E475" s="107"/>
      <c r="F475" s="108" t="s">
        <v>300</v>
      </c>
      <c r="G475" s="107"/>
      <c r="H475" s="2"/>
      <c r="I475" s="2"/>
    </row>
    <row r="476" spans="1:11" ht="12.75" customHeight="1">
      <c r="A476" s="15" t="s">
        <v>301</v>
      </c>
      <c r="B476" s="15" t="s">
        <v>302</v>
      </c>
      <c r="C476" s="109" t="s">
        <v>303</v>
      </c>
      <c r="D476" s="110"/>
      <c r="E476" s="110"/>
      <c r="F476" s="16" t="s">
        <v>304</v>
      </c>
      <c r="G476" s="7"/>
      <c r="H476" s="2"/>
      <c r="I476" s="2"/>
    </row>
    <row r="477" spans="1:11" ht="12.75" customHeight="1">
      <c r="A477" s="2"/>
      <c r="B477" s="2"/>
      <c r="C477" s="2"/>
      <c r="D477" s="2"/>
      <c r="E477" s="2"/>
      <c r="F477" s="2"/>
      <c r="G477" s="2"/>
      <c r="H477" s="2"/>
      <c r="I477" s="2"/>
    </row>
    <row r="478" spans="1:11" ht="12.75" customHeight="1">
      <c r="A478" s="2"/>
      <c r="B478" s="2"/>
      <c r="C478" s="2"/>
      <c r="D478" s="2"/>
      <c r="E478" s="2"/>
      <c r="F478" s="2"/>
      <c r="G478" s="2"/>
      <c r="H478" s="2"/>
      <c r="I478" s="2"/>
    </row>
  </sheetData>
  <mergeCells count="21">
    <mergeCell ref="B472:F472"/>
    <mergeCell ref="B473:F473"/>
    <mergeCell ref="C475:E475"/>
    <mergeCell ref="F475:G475"/>
    <mergeCell ref="C476:E476"/>
    <mergeCell ref="A468:A469"/>
    <mergeCell ref="B468:F469"/>
    <mergeCell ref="G468:I468"/>
    <mergeCell ref="B470:F470"/>
    <mergeCell ref="B471:F471"/>
    <mergeCell ref="A9:I9"/>
    <mergeCell ref="A10:A11"/>
    <mergeCell ref="B10:F10"/>
    <mergeCell ref="G10:I10"/>
    <mergeCell ref="A467:I467"/>
    <mergeCell ref="E1:I1"/>
    <mergeCell ref="B5:F5"/>
    <mergeCell ref="G5:H5"/>
    <mergeCell ref="G7:H7"/>
    <mergeCell ref="A2:I2"/>
    <mergeCell ref="A3:I3"/>
  </mergeCells>
  <pageMargins left="0.70866141732283472" right="0.51181102362204722" top="0.74803149606299213" bottom="0.74803149606299213" header="0.31496062992125984" footer="0.31496062992125984"/>
  <pageSetup paperSize="9" scale="51" fitToHeight="0" orientation="portrait" blackAndWhite="1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1&lt;/string&gt;&#10;    &lt;string&gt;02.08.2021&lt;/string&gt;&#10;  &lt;/DateInfo&gt;&#10;  &lt;Code&gt;SQUERY_ROSP_0501050&lt;/Code&gt;&#10;  &lt;ObjectCode&gt;SQUERY_ROSP_0501050&lt;/ObjectCode&gt;&#10;  &lt;DocName&gt;Сводная бюджетная роспись бюджета (0501050)&lt;/DocName&gt;&#10;  &lt;VariantName&gt;Вариант (новый от 05.05.2014 11:24:28)&lt;/VariantName&gt;&#10;  &lt;VariantLink&gt;36665221&lt;/VariantLink&gt;&#10;  &lt;SvodReportLink xsi:nil=&quot;true&quot; /&gt;&#10;  &lt;ReportLink&gt;36651117&lt;/ReportLink&gt;&#10;  &lt;Note&gt;01.01.2021 - 02.08.2021&#10;&lt;/Note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EDD63CCC-9EF4-46CE-8EE9-C9901DC493F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Документ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1FIN\Microsoft</dc:creator>
  <cp:lastModifiedBy>Microsoft</cp:lastModifiedBy>
  <cp:lastPrinted>2023-08-10T11:38:47Z</cp:lastPrinted>
  <dcterms:created xsi:type="dcterms:W3CDTF">2021-08-02T06:48:54Z</dcterms:created>
  <dcterms:modified xsi:type="dcterms:W3CDTF">2023-10-23T06:46:07Z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Сводная бюджетная роспись бюджета (0501050)</vt:lpwstr>
  </property>
  <property fmtid="{D5CDD505-2E9C-101B-9397-08002B2CF9AE}" pid="3" name="Версия клиента">
    <vt:lpwstr>21.1.9.6031 (.NET 4.7.2)</vt:lpwstr>
  </property>
  <property fmtid="{D5CDD505-2E9C-101B-9397-08002B2CF9AE}" pid="4" name="Версия базы">
    <vt:lpwstr>21.1.1280.67148444</vt:lpwstr>
  </property>
  <property fmtid="{D5CDD505-2E9C-101B-9397-08002B2CF9AE}" pid="5" name="Тип сервера">
    <vt:lpwstr>MSSQL</vt:lpwstr>
  </property>
  <property fmtid="{D5CDD505-2E9C-101B-9397-08002B2CF9AE}" pid="6" name="Сервер">
    <vt:lpwstr>win-ekahr3gn3r6\sqlexpress</vt:lpwstr>
  </property>
  <property fmtid="{D5CDD505-2E9C-101B-9397-08002B2CF9AE}" pid="7" name="База">
    <vt:lpwstr>budget2021</vt:lpwstr>
  </property>
  <property fmtid="{D5CDD505-2E9C-101B-9397-08002B2CF9AE}" pid="8" name="Пользователь">
    <vt:lpwstr>sherbakova</vt:lpwstr>
  </property>
  <property fmtid="{D5CDD505-2E9C-101B-9397-08002B2CF9AE}" pid="9" name="Шаблон">
    <vt:lpwstr>SQR_ROSP_0501050.XLT</vt:lpwstr>
  </property>
  <property fmtid="{D5CDD505-2E9C-101B-9397-08002B2CF9AE}" pid="10" name="Имя варианта">
    <vt:lpwstr>Вариант (новый от 05.05.2014 11:24:28)</vt:lpwstr>
  </property>
  <property fmtid="{D5CDD505-2E9C-101B-9397-08002B2CF9AE}" pid="11" name="Код отчета">
    <vt:lpwstr>E33C8F02342148828A237955B5AD91</vt:lpwstr>
  </property>
  <property fmtid="{D5CDD505-2E9C-101B-9397-08002B2CF9AE}" pid="12" name="Локальная база">
    <vt:lpwstr>не используется</vt:lpwstr>
  </property>
</Properties>
</file>