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угай Расчет объ.2020" sheetId="1" r:id="rId1"/>
    <sheet name="расчет 2021" sheetId="6" r:id="rId2"/>
    <sheet name="расчет 2022" sheetId="5" r:id="rId3"/>
    <sheet name="2020" sheetId="2" r:id="rId4"/>
    <sheet name="2021" sheetId="3" r:id="rId5"/>
    <sheet name="2022" sheetId="4" r:id="rId6"/>
  </sheets>
  <definedNames>
    <definedName name="_ftnref1" localSheetId="0">'Мугай Расчет объ.2020'!#REF!</definedName>
    <definedName name="_ftnref2" localSheetId="0">'Мугай Расчет объ.2020'!#REF!</definedName>
    <definedName name="_xlnm.Print_Area" localSheetId="3">'2020'!$A$1:$Y$14</definedName>
    <definedName name="_xlnm.Print_Area" localSheetId="4">'2021'!$A$3:$Y$13</definedName>
    <definedName name="_xlnm.Print_Area" localSheetId="5">'2022'!$A$1:$Y$13</definedName>
    <definedName name="_xlnm.Print_Area" localSheetId="0">'Мугай Расчет объ.2020'!$A$1:$N$21</definedName>
  </definedNames>
  <calcPr calcId="125725"/>
</workbook>
</file>

<file path=xl/calcChain.xml><?xml version="1.0" encoding="utf-8"?>
<calcChain xmlns="http://schemas.openxmlformats.org/spreadsheetml/2006/main">
  <c r="C9" i="1"/>
  <c r="C8"/>
  <c r="B9"/>
  <c r="V15" i="2"/>
  <c r="O15"/>
  <c r="S15"/>
  <c r="R15"/>
  <c r="Q15"/>
  <c r="F10"/>
  <c r="B11" i="1"/>
  <c r="G12" i="2"/>
  <c r="D10"/>
  <c r="K9"/>
  <c r="O17" l="1"/>
  <c r="G13"/>
  <c r="D9"/>
  <c r="B7" i="5"/>
  <c r="B10" i="6"/>
  <c r="F10" s="1"/>
  <c r="I10" s="1"/>
  <c r="Y11" i="4"/>
  <c r="Y10"/>
  <c r="X9"/>
  <c r="X8"/>
  <c r="N9"/>
  <c r="N8"/>
  <c r="K10"/>
  <c r="K9"/>
  <c r="K8"/>
  <c r="L17"/>
  <c r="L12"/>
  <c r="D16"/>
  <c r="C14"/>
  <c r="I8"/>
  <c r="H8"/>
  <c r="L8"/>
  <c r="M8"/>
  <c r="P8"/>
  <c r="P12"/>
  <c r="Q8"/>
  <c r="R8"/>
  <c r="U8"/>
  <c r="V8"/>
  <c r="I9"/>
  <c r="H9"/>
  <c r="L9"/>
  <c r="M9"/>
  <c r="M12"/>
  <c r="O9"/>
  <c r="P9"/>
  <c r="Q9"/>
  <c r="T9"/>
  <c r="Y9"/>
  <c r="S9"/>
  <c r="U9"/>
  <c r="U12"/>
  <c r="W9"/>
  <c r="T10"/>
  <c r="X10"/>
  <c r="K11"/>
  <c r="X11"/>
  <c r="B12"/>
  <c r="D12"/>
  <c r="E12"/>
  <c r="F12"/>
  <c r="G12"/>
  <c r="J12"/>
  <c r="C14" i="3"/>
  <c r="L15" i="2"/>
  <c r="L10"/>
  <c r="Q10"/>
  <c r="K11"/>
  <c r="Y11"/>
  <c r="P9" i="3"/>
  <c r="L9"/>
  <c r="V8"/>
  <c r="S10" i="2"/>
  <c r="W9"/>
  <c r="G10" i="5"/>
  <c r="B10" s="1"/>
  <c r="F10" s="1"/>
  <c r="I10" s="1"/>
  <c r="G9"/>
  <c r="B9" s="1"/>
  <c r="F9" s="1"/>
  <c r="I9" s="1"/>
  <c r="G8"/>
  <c r="B8" s="1"/>
  <c r="G7"/>
  <c r="C7" s="1"/>
  <c r="G11" i="6"/>
  <c r="B11" s="1"/>
  <c r="F11" s="1"/>
  <c r="I11" s="1"/>
  <c r="G10"/>
  <c r="G9"/>
  <c r="C9" s="1"/>
  <c r="G8"/>
  <c r="C8" s="1"/>
  <c r="G11" i="1"/>
  <c r="F11" s="1"/>
  <c r="I11" s="1"/>
  <c r="G10"/>
  <c r="B10" s="1"/>
  <c r="F10" s="1"/>
  <c r="I10" s="1"/>
  <c r="G9"/>
  <c r="G8"/>
  <c r="H11" i="5"/>
  <c r="X11" i="3"/>
  <c r="G12"/>
  <c r="K11"/>
  <c r="Y11"/>
  <c r="H12" i="1"/>
  <c r="X12" i="2"/>
  <c r="D12" i="3"/>
  <c r="K10"/>
  <c r="Y10"/>
  <c r="H12" i="6"/>
  <c r="J12" i="3"/>
  <c r="E12"/>
  <c r="X10"/>
  <c r="T10"/>
  <c r="X11" i="2"/>
  <c r="T11"/>
  <c r="E13"/>
  <c r="F13"/>
  <c r="J13"/>
  <c r="I8" i="3"/>
  <c r="U9"/>
  <c r="S9"/>
  <c r="R9"/>
  <c r="R12"/>
  <c r="H9"/>
  <c r="I9"/>
  <c r="N9"/>
  <c r="W9"/>
  <c r="M9"/>
  <c r="O9"/>
  <c r="Q8"/>
  <c r="S8"/>
  <c r="P8"/>
  <c r="P12"/>
  <c r="N8"/>
  <c r="N12"/>
  <c r="O8"/>
  <c r="H8"/>
  <c r="K8"/>
  <c r="L8"/>
  <c r="B12"/>
  <c r="M8"/>
  <c r="N10" i="2"/>
  <c r="O10"/>
  <c r="L12" i="3"/>
  <c r="D17"/>
  <c r="U10" i="2"/>
  <c r="W8" i="3"/>
  <c r="W12"/>
  <c r="U8"/>
  <c r="U12"/>
  <c r="R8"/>
  <c r="V9"/>
  <c r="Q9"/>
  <c r="Q12"/>
  <c r="H10" i="2"/>
  <c r="Q12" i="4"/>
  <c r="T8"/>
  <c r="Y8"/>
  <c r="K12"/>
  <c r="I12"/>
  <c r="H12"/>
  <c r="V9"/>
  <c r="V12"/>
  <c r="R9"/>
  <c r="N12"/>
  <c r="W8"/>
  <c r="W12"/>
  <c r="S8"/>
  <c r="S12"/>
  <c r="O8"/>
  <c r="T8" i="3"/>
  <c r="H12"/>
  <c r="K9"/>
  <c r="K12"/>
  <c r="T9"/>
  <c r="X9"/>
  <c r="O12"/>
  <c r="S12"/>
  <c r="I12"/>
  <c r="M12"/>
  <c r="V12"/>
  <c r="N17"/>
  <c r="X8"/>
  <c r="R9" i="2"/>
  <c r="R13" s="1"/>
  <c r="O9"/>
  <c r="O13" s="1"/>
  <c r="B13"/>
  <c r="L9"/>
  <c r="W10"/>
  <c r="W13"/>
  <c r="P10"/>
  <c r="V10"/>
  <c r="X10" s="1"/>
  <c r="R10"/>
  <c r="M10"/>
  <c r="I10"/>
  <c r="K10"/>
  <c r="P9"/>
  <c r="P13"/>
  <c r="I9"/>
  <c r="V9"/>
  <c r="V13" s="1"/>
  <c r="M9"/>
  <c r="S9"/>
  <c r="S13"/>
  <c r="H9"/>
  <c r="Q9"/>
  <c r="U9"/>
  <c r="N9"/>
  <c r="N13"/>
  <c r="Y12" i="4"/>
  <c r="Y17"/>
  <c r="R12"/>
  <c r="O12"/>
  <c r="X12"/>
  <c r="X12" i="3"/>
  <c r="Y9"/>
  <c r="T12"/>
  <c r="M13" i="2"/>
  <c r="Y8" i="3"/>
  <c r="I13" i="2"/>
  <c r="X9"/>
  <c r="U13"/>
  <c r="L13"/>
  <c r="H13"/>
  <c r="T12" i="4"/>
  <c r="Y12" i="3"/>
  <c r="Y17"/>
  <c r="T10" i="2" l="1"/>
  <c r="F8" i="5"/>
  <c r="I8" s="1"/>
  <c r="F7"/>
  <c r="I7" s="1"/>
  <c r="B9" i="6"/>
  <c r="F9" s="1"/>
  <c r="I9" s="1"/>
  <c r="C8" i="5"/>
  <c r="F9" i="1"/>
  <c r="I9" s="1"/>
  <c r="B8" i="6"/>
  <c r="F8" s="1"/>
  <c r="I8" s="1"/>
  <c r="I12" s="1"/>
  <c r="B8" i="1"/>
  <c r="Q13" i="2"/>
  <c r="X13"/>
  <c r="Y10"/>
  <c r="T9"/>
  <c r="K12"/>
  <c r="Y12" s="1"/>
  <c r="D13"/>
  <c r="D16" s="1"/>
  <c r="T13" l="1"/>
  <c r="F8" i="1"/>
  <c r="B12"/>
  <c r="I11" i="5"/>
  <c r="C12" i="1"/>
  <c r="Y9" i="2"/>
  <c r="Y13" s="1"/>
  <c r="Y18" s="1"/>
  <c r="K13"/>
  <c r="F12" i="1" l="1"/>
  <c r="I8"/>
  <c r="I12" s="1"/>
</calcChain>
</file>

<file path=xl/sharedStrings.xml><?xml version="1.0" encoding="utf-8"?>
<sst xmlns="http://schemas.openxmlformats.org/spreadsheetml/2006/main" count="187" uniqueCount="64">
  <si>
    <t xml:space="preserve">Итого         </t>
  </si>
  <si>
    <t xml:space="preserve">на отчетный   </t>
  </si>
  <si>
    <t>финансовый год</t>
  </si>
  <si>
    <r>
      <t>[1]</t>
    </r>
    <r>
      <rPr>
        <sz val="10"/>
        <color indexed="8"/>
        <rFont val="Times New Roman"/>
        <family val="1"/>
        <charset val="204"/>
      </rPr>
      <t xml:space="preserve"> Определяется путем суммирования нормативных затрат, непосредственно связанных с оказанием муниципальной услуги </t>
    </r>
    <r>
      <rPr>
        <sz val="10"/>
        <color indexed="59"/>
        <rFont val="Times New Roman"/>
        <family val="1"/>
        <charset val="204"/>
      </rPr>
      <t>(графа 2)</t>
    </r>
    <r>
      <rPr>
        <sz val="10"/>
        <color indexed="8"/>
        <rFont val="Times New Roman"/>
        <family val="1"/>
        <charset val="204"/>
      </rPr>
      <t xml:space="preserve">, и затрат на общехозяйственные нужды </t>
    </r>
    <r>
      <rPr>
        <sz val="10"/>
        <color indexed="59"/>
        <rFont val="Times New Roman"/>
        <family val="1"/>
        <charset val="204"/>
      </rPr>
      <t>(графа 3)</t>
    </r>
  </si>
  <si>
    <r>
      <t>[2]</t>
    </r>
    <r>
      <rPr>
        <sz val="10"/>
        <color indexed="8"/>
        <rFont val="Times New Roman"/>
        <family val="1"/>
        <charset val="204"/>
      </rPr>
      <t xml:space="preserve"> Определяется путем суммирования произведения итогового объема нормативных затрат на оказание муниципальной </t>
    </r>
    <r>
      <rPr>
        <sz val="10"/>
        <color indexed="59"/>
        <rFont val="Times New Roman"/>
        <family val="1"/>
        <charset val="204"/>
      </rPr>
      <t>услуги (графа 4)</t>
    </r>
    <r>
      <rPr>
        <sz val="10"/>
        <color indexed="8"/>
        <rFont val="Times New Roman"/>
        <family val="1"/>
        <charset val="204"/>
      </rPr>
      <t xml:space="preserve"> на объем муниципальной услуги </t>
    </r>
    <r>
      <rPr>
        <sz val="10"/>
        <color indexed="59"/>
        <rFont val="Times New Roman"/>
        <family val="1"/>
        <charset val="204"/>
      </rPr>
      <t>(графа 5)</t>
    </r>
    <r>
      <rPr>
        <sz val="10"/>
        <color indexed="8"/>
        <rFont val="Times New Roman"/>
        <family val="1"/>
        <charset val="204"/>
      </rPr>
      <t xml:space="preserve"> с затратами на содержание </t>
    </r>
    <r>
      <rPr>
        <sz val="10"/>
        <color indexed="59"/>
        <rFont val="Times New Roman"/>
        <family val="1"/>
        <charset val="204"/>
      </rPr>
      <t>имущества (графа 6)</t>
    </r>
  </si>
  <si>
    <t>Нормативные затраты на общехозяйственные нужды</t>
  </si>
  <si>
    <t>Наименование муниципальной услуги</t>
  </si>
  <si>
    <t>тыс. руб.  за единицу</t>
  </si>
  <si>
    <t>единиц</t>
  </si>
  <si>
    <t>тыс. рублей</t>
  </si>
  <si>
    <t>Объем  муниципальной услуги</t>
  </si>
  <si>
    <t>Затраты    на содержание имущества</t>
  </si>
  <si>
    <t>Реализация программ начального общего образования</t>
  </si>
  <si>
    <t>Реализация общеобразовательных программ основного общего образования</t>
  </si>
  <si>
    <t>учебные расходы</t>
  </si>
  <si>
    <t>интернет</t>
  </si>
  <si>
    <t>услуги связи</t>
  </si>
  <si>
    <t>расходы на содержание имущества</t>
  </si>
  <si>
    <t>прочие услуги</t>
  </si>
  <si>
    <t>продукты питания</t>
  </si>
  <si>
    <t>приобретение материалов</t>
  </si>
  <si>
    <t>кол. Учащ.</t>
  </si>
  <si>
    <t>итого</t>
  </si>
  <si>
    <t>з/пл. за год + начисления прочего персонала</t>
  </si>
  <si>
    <t>з/пл. за год + начисления учителей</t>
  </si>
  <si>
    <t>доля в %</t>
  </si>
  <si>
    <t>электроэнергия 90%</t>
  </si>
  <si>
    <t>электроэнергия 10%</t>
  </si>
  <si>
    <t>прочие ком. Услуги</t>
  </si>
  <si>
    <t>нормативные затраты, непосредственно связанные с оказанием муниц.услуги</t>
  </si>
  <si>
    <t>наименование услуги</t>
  </si>
  <si>
    <t xml:space="preserve"> </t>
  </si>
  <si>
    <t>подвоз учащихся</t>
  </si>
  <si>
    <t>прочие расходы</t>
  </si>
  <si>
    <t>Теплоэнергия 50%</t>
  </si>
  <si>
    <t>организация отдыха детей в каникулярное время</t>
  </si>
  <si>
    <t>Организация отдыха детей в каникулярное время</t>
  </si>
  <si>
    <t>Организация питания обучающихся</t>
  </si>
  <si>
    <t>МБОУ "Мугайская ООШ"</t>
  </si>
  <si>
    <t>нормативные затраты на оказание услуг</t>
  </si>
  <si>
    <t>Базовый норматив  затрат на оказание муниципальной услуги</t>
  </si>
  <si>
    <t>Базовый норматив  затрат на общехозяйственные нужды</t>
  </si>
  <si>
    <t>Базовый норматив 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</si>
  <si>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</si>
  <si>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Базовый норматив затрат на общехозяйственные нужды</t>
  </si>
  <si>
    <t>Базовый     норматив затрат на оказание муниципальной услуги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</si>
  <si>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№5</t>
  </si>
  <si>
    <t>Приложение №5</t>
  </si>
  <si>
    <t>Распределение нормативных затрат  на 2021г.</t>
  </si>
  <si>
    <t>Территориальный коэффициент</t>
  </si>
  <si>
    <t>отраслевой коэффициент</t>
  </si>
  <si>
    <t xml:space="preserve">Итого нормативные затраты на оказание  муниципальной услуги   </t>
  </si>
  <si>
    <t>Отраслевой коэффициент</t>
  </si>
  <si>
    <t xml:space="preserve">Приложение №1 </t>
  </si>
  <si>
    <t>Приложение №2</t>
  </si>
  <si>
    <t xml:space="preserve">Приложение №3 </t>
  </si>
  <si>
    <t xml:space="preserve">                                                                                                                                                                                                          Приложение №4</t>
  </si>
  <si>
    <t>Приложение №6</t>
  </si>
  <si>
    <t>Распределение нормативных затрат на 2020г.</t>
  </si>
  <si>
    <t>Распределение нормативных затрат  на 2022г.</t>
  </si>
  <si>
    <t xml:space="preserve">Нормативные затраты на оказание  муниципальных услуг (выполнение работ) на 2020 год </t>
  </si>
  <si>
    <t xml:space="preserve">Нормативные затраты на оказание муниципальных услуг (выполнением работ) на 2021 год </t>
  </si>
  <si>
    <t xml:space="preserve">Нормативные затраты на оказание муниципальных услуг (выполнение работ) на 2022 год </t>
  </si>
  <si>
    <t>компенсация за питание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</si>
</sst>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5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7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0" xfId="0" applyFont="1"/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4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0" xfId="0" applyNumberFormat="1"/>
    <xf numFmtId="0" fontId="0" fillId="0" borderId="11" xfId="0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164" fontId="0" fillId="0" borderId="0" xfId="0" applyNumberFormat="1"/>
    <xf numFmtId="2" fontId="0" fillId="0" borderId="11" xfId="0" applyNumberFormat="1" applyBorder="1" applyAlignment="1">
      <alignment horizontal="center" vertical="center"/>
    </xf>
    <xf numFmtId="165" fontId="5" fillId="0" borderId="16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0" borderId="21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65" fontId="13" fillId="0" borderId="1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/>
    <xf numFmtId="0" fontId="0" fillId="0" borderId="0" xfId="0" applyFont="1" applyBorder="1" applyAlignment="1">
      <alignment horizontal="center" wrapText="1"/>
    </xf>
    <xf numFmtId="0" fontId="9" fillId="0" borderId="22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>
      <alignment wrapText="1"/>
    </xf>
    <xf numFmtId="0" fontId="18" fillId="0" borderId="0" xfId="0" applyFont="1" applyAlignment="1">
      <alignment horizontal="center"/>
    </xf>
    <xf numFmtId="2" fontId="17" fillId="0" borderId="7" xfId="0" applyNumberFormat="1" applyFont="1" applyBorder="1" applyAlignment="1">
      <alignment horizontal="center" vertical="top" wrapText="1"/>
    </xf>
    <xf numFmtId="2" fontId="17" fillId="0" borderId="2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7" fillId="0" borderId="18" xfId="0" applyNumberFormat="1" applyFont="1" applyBorder="1" applyAlignment="1">
      <alignment horizontal="center" vertical="top" wrapText="1"/>
    </xf>
    <xf numFmtId="0" fontId="17" fillId="0" borderId="7" xfId="0" applyNumberFormat="1" applyFont="1" applyBorder="1" applyAlignment="1">
      <alignment horizontal="center" vertical="top" wrapText="1"/>
    </xf>
    <xf numFmtId="0" fontId="17" fillId="0" borderId="2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4" fillId="0" borderId="24" xfId="0" applyFont="1" applyBorder="1" applyAlignment="1">
      <alignment horizontal="center" wrapText="1"/>
    </xf>
    <xf numFmtId="2" fontId="17" fillId="0" borderId="25" xfId="0" applyNumberFormat="1" applyFont="1" applyBorder="1" applyAlignment="1">
      <alignment horizontal="center" vertical="top" wrapText="1"/>
    </xf>
    <xf numFmtId="2" fontId="17" fillId="0" borderId="3" xfId="0" applyNumberFormat="1" applyFont="1" applyBorder="1" applyAlignment="1">
      <alignment horizontal="center" vertical="top" wrapText="1"/>
    </xf>
    <xf numFmtId="0" fontId="17" fillId="0" borderId="26" xfId="0" applyNumberFormat="1" applyFont="1" applyBorder="1" applyAlignment="1">
      <alignment horizontal="center" vertical="top" wrapText="1"/>
    </xf>
    <xf numFmtId="0" fontId="17" fillId="0" borderId="27" xfId="0" applyNumberFormat="1" applyFont="1" applyBorder="1" applyAlignment="1">
      <alignment horizontal="center" vertical="top" wrapText="1"/>
    </xf>
    <xf numFmtId="0" fontId="17" fillId="0" borderId="28" xfId="0" applyNumberFormat="1" applyFont="1" applyBorder="1" applyAlignment="1">
      <alignment horizontal="center" vertical="top" wrapText="1"/>
    </xf>
    <xf numFmtId="0" fontId="17" fillId="0" borderId="23" xfId="0" applyNumberFormat="1" applyFont="1" applyBorder="1" applyAlignment="1">
      <alignment horizontal="center" vertical="top" wrapText="1"/>
    </xf>
    <xf numFmtId="0" fontId="17" fillId="0" borderId="29" xfId="0" applyNumberFormat="1" applyFont="1" applyBorder="1" applyAlignment="1">
      <alignment horizontal="center" vertical="top" wrapText="1"/>
    </xf>
    <xf numFmtId="0" fontId="17" fillId="0" borderId="30" xfId="0" applyNumberFormat="1" applyFont="1" applyBorder="1" applyAlignment="1">
      <alignment horizontal="center" vertical="top" wrapText="1"/>
    </xf>
    <xf numFmtId="0" fontId="17" fillId="0" borderId="31" xfId="0" applyNumberFormat="1" applyFont="1" applyBorder="1" applyAlignment="1">
      <alignment horizontal="center" vertical="top" wrapText="1"/>
    </xf>
    <xf numFmtId="0" fontId="17" fillId="0" borderId="32" xfId="0" applyNumberFormat="1" applyFont="1" applyBorder="1" applyAlignment="1">
      <alignment horizontal="center" vertical="top" wrapText="1"/>
    </xf>
    <xf numFmtId="0" fontId="17" fillId="0" borderId="4" xfId="0" applyNumberFormat="1" applyFont="1" applyBorder="1" applyAlignment="1">
      <alignment horizontal="center" vertical="top" wrapText="1"/>
    </xf>
    <xf numFmtId="0" fontId="17" fillId="0" borderId="19" xfId="0" applyNumberFormat="1" applyFont="1" applyBorder="1" applyAlignment="1">
      <alignment horizontal="center" vertical="top" wrapText="1"/>
    </xf>
    <xf numFmtId="0" fontId="17" fillId="0" borderId="33" xfId="0" applyNumberFormat="1" applyFont="1" applyBorder="1" applyAlignment="1">
      <alignment horizontal="center" vertical="top" wrapText="1"/>
    </xf>
    <xf numFmtId="0" fontId="17" fillId="0" borderId="15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Normal="100" workbookViewId="0">
      <selection activeCell="H10" sqref="H10"/>
    </sheetView>
  </sheetViews>
  <sheetFormatPr defaultRowHeight="15"/>
  <cols>
    <col min="1" max="1" width="27.140625" customWidth="1"/>
    <col min="2" max="2" width="21" customWidth="1"/>
    <col min="3" max="3" width="20.85546875" customWidth="1"/>
    <col min="4" max="4" width="14.28515625" customWidth="1"/>
    <col min="5" max="5" width="11.28515625" customWidth="1"/>
    <col min="6" max="6" width="16.85546875" customWidth="1"/>
    <col min="7" max="7" width="15.28515625" customWidth="1"/>
    <col min="8" max="8" width="15.140625" customWidth="1"/>
    <col min="9" max="9" width="17.7109375" customWidth="1"/>
  </cols>
  <sheetData>
    <row r="1" spans="1:9" ht="28.5" customHeight="1">
      <c r="H1" s="73" t="s">
        <v>53</v>
      </c>
      <c r="I1" s="74"/>
    </row>
    <row r="2" spans="1:9" ht="18.75">
      <c r="A2" s="76" t="s">
        <v>38</v>
      </c>
      <c r="B2" s="76"/>
      <c r="C2" s="76"/>
      <c r="D2" s="76"/>
      <c r="E2" s="76"/>
      <c r="F2" s="76"/>
      <c r="G2" s="76"/>
      <c r="H2" s="76"/>
      <c r="I2" s="76"/>
    </row>
    <row r="3" spans="1:9" ht="49.5" customHeight="1">
      <c r="A3" s="79" t="s">
        <v>60</v>
      </c>
      <c r="B3" s="80"/>
      <c r="C3" s="80"/>
      <c r="D3" s="80"/>
      <c r="E3" s="80"/>
      <c r="F3" s="80"/>
      <c r="G3" s="80"/>
      <c r="H3" s="80"/>
      <c r="I3" s="80"/>
    </row>
    <row r="4" spans="1:9" ht="49.5" customHeight="1" thickBot="1">
      <c r="A4" s="86"/>
      <c r="B4" s="86"/>
      <c r="C4" s="86"/>
      <c r="D4" s="86"/>
      <c r="E4" s="86"/>
      <c r="F4" s="86"/>
      <c r="G4" s="86"/>
      <c r="H4" s="86"/>
      <c r="I4" s="86"/>
    </row>
    <row r="5" spans="1:9" ht="93" customHeight="1" thickBot="1">
      <c r="A5" s="84" t="s">
        <v>6</v>
      </c>
      <c r="B5" s="2" t="s">
        <v>42</v>
      </c>
      <c r="C5" s="2" t="s">
        <v>41</v>
      </c>
      <c r="D5" s="2" t="s">
        <v>49</v>
      </c>
      <c r="E5" s="2" t="s">
        <v>52</v>
      </c>
      <c r="F5" s="2" t="s">
        <v>40</v>
      </c>
      <c r="G5" s="2" t="s">
        <v>10</v>
      </c>
      <c r="H5" s="2" t="s">
        <v>11</v>
      </c>
      <c r="I5" s="2" t="s">
        <v>51</v>
      </c>
    </row>
    <row r="6" spans="1:9" ht="30.75" thickBot="1">
      <c r="A6" s="85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3378.6/G8</f>
        <v>64.973076923076917</v>
      </c>
      <c r="C8" s="39">
        <f>6966.7/G8</f>
        <v>133.97499999999999</v>
      </c>
      <c r="D8" s="63">
        <v>1</v>
      </c>
      <c r="E8" s="63">
        <v>1</v>
      </c>
      <c r="F8" s="39">
        <f>B8+C8</f>
        <v>198.94807692307691</v>
      </c>
      <c r="G8" s="40">
        <f>'2020'!C9</f>
        <v>52</v>
      </c>
      <c r="H8" s="40">
        <v>982.3</v>
      </c>
      <c r="I8" s="41">
        <f>(F8*G8)+H8</f>
        <v>11327.599999999999</v>
      </c>
    </row>
    <row r="9" spans="1:9" ht="44.25" customHeight="1" thickBot="1">
      <c r="A9" s="11" t="s">
        <v>13</v>
      </c>
      <c r="B9" s="37">
        <f>6326.6/G9</f>
        <v>117.15925925925927</v>
      </c>
      <c r="C9" s="37">
        <f>7222.2/G9</f>
        <v>133.74444444444444</v>
      </c>
      <c r="D9" s="67">
        <v>1</v>
      </c>
      <c r="E9" s="62">
        <v>1</v>
      </c>
      <c r="F9" s="39">
        <f>B9+C9</f>
        <v>250.90370370370371</v>
      </c>
      <c r="G9" s="38">
        <f>'2020'!C10</f>
        <v>54</v>
      </c>
      <c r="H9" s="38">
        <v>1018.4</v>
      </c>
      <c r="I9" s="41">
        <f>(F9*G9)+H9</f>
        <v>14567.2</v>
      </c>
    </row>
    <row r="10" spans="1:9" ht="33" customHeight="1" thickBot="1">
      <c r="A10" s="47" t="s">
        <v>36</v>
      </c>
      <c r="B10" s="48">
        <f>247.5/G10</f>
        <v>3.9285714285714284</v>
      </c>
      <c r="C10" s="48">
        <v>0</v>
      </c>
      <c r="D10" s="68">
        <v>1</v>
      </c>
      <c r="E10" s="69">
        <v>1</v>
      </c>
      <c r="F10" s="49">
        <f>B10+C10</f>
        <v>3.9285714285714284</v>
      </c>
      <c r="G10" s="50">
        <f>'2020'!C11</f>
        <v>63</v>
      </c>
      <c r="H10" s="50">
        <v>0</v>
      </c>
      <c r="I10" s="51">
        <f>(F10*G10)+H10</f>
        <v>247.5</v>
      </c>
    </row>
    <row r="11" spans="1:9" ht="33" customHeight="1" thickBot="1">
      <c r="A11" s="12" t="s">
        <v>37</v>
      </c>
      <c r="B11" s="52">
        <f>738.9/G11</f>
        <v>6.9707547169811317</v>
      </c>
      <c r="C11" s="35">
        <v>0</v>
      </c>
      <c r="D11" s="67">
        <v>1</v>
      </c>
      <c r="E11" s="62">
        <v>1</v>
      </c>
      <c r="F11" s="39">
        <f>B11+C11</f>
        <v>6.9707547169811317</v>
      </c>
      <c r="G11" s="36">
        <f>'2020'!C12</f>
        <v>106</v>
      </c>
      <c r="H11" s="36">
        <v>0</v>
      </c>
      <c r="I11" s="41">
        <f>(F11*G11)+H11</f>
        <v>738.9</v>
      </c>
    </row>
    <row r="12" spans="1:9">
      <c r="A12" s="11" t="s">
        <v>0</v>
      </c>
      <c r="B12" s="77">
        <f>B8+B9+B10+B11</f>
        <v>193.03166232788874</v>
      </c>
      <c r="C12" s="77">
        <f>C8+C9+C10+C11</f>
        <v>267.71944444444443</v>
      </c>
      <c r="D12" s="81">
        <v>1</v>
      </c>
      <c r="E12" s="81">
        <v>1</v>
      </c>
      <c r="F12" s="77">
        <f>F8+F9+F10+F11</f>
        <v>460.75110677233317</v>
      </c>
      <c r="G12" s="77">
        <v>122</v>
      </c>
      <c r="H12" s="77">
        <f>H8+H9+H10+H11</f>
        <v>2000.6999999999998</v>
      </c>
      <c r="I12" s="77">
        <f>I8+I9+I10+I11</f>
        <v>26881.200000000001</v>
      </c>
    </row>
    <row r="13" spans="1:9">
      <c r="A13" s="11" t="s">
        <v>1</v>
      </c>
      <c r="B13" s="77"/>
      <c r="C13" s="77"/>
      <c r="D13" s="82"/>
      <c r="E13" s="82"/>
      <c r="F13" s="77"/>
      <c r="G13" s="77"/>
      <c r="H13" s="77"/>
      <c r="I13" s="77"/>
    </row>
    <row r="14" spans="1:9" ht="15.75" thickBot="1">
      <c r="A14" s="10" t="s">
        <v>2</v>
      </c>
      <c r="B14" s="78"/>
      <c r="C14" s="78"/>
      <c r="D14" s="83"/>
      <c r="E14" s="83"/>
      <c r="F14" s="78"/>
      <c r="G14" s="78"/>
      <c r="H14" s="78"/>
      <c r="I14" s="78"/>
    </row>
    <row r="15" spans="1:9">
      <c r="A15" s="1"/>
    </row>
    <row r="18" spans="1:14" ht="16.5">
      <c r="A18" s="5" t="s">
        <v>3</v>
      </c>
    </row>
    <row r="19" spans="1:14" ht="41.25" customHeight="1">
      <c r="A19" s="75" t="s">
        <v>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</sheetData>
  <mergeCells count="14">
    <mergeCell ref="H1:I1"/>
    <mergeCell ref="A19:N19"/>
    <mergeCell ref="A2:I2"/>
    <mergeCell ref="H12:H14"/>
    <mergeCell ref="I12:I14"/>
    <mergeCell ref="A3:I3"/>
    <mergeCell ref="D12:D14"/>
    <mergeCell ref="E12:E14"/>
    <mergeCell ref="A5:A6"/>
    <mergeCell ref="B12:B14"/>
    <mergeCell ref="C12:C14"/>
    <mergeCell ref="A4:I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Normal="100" workbookViewId="0">
      <selection activeCell="H10" sqref="H10"/>
    </sheetView>
  </sheetViews>
  <sheetFormatPr defaultRowHeight="15"/>
  <cols>
    <col min="1" max="1" width="27.140625" customWidth="1"/>
    <col min="2" max="2" width="21" customWidth="1"/>
    <col min="3" max="3" width="20.85546875" customWidth="1"/>
    <col min="4" max="4" width="10.85546875" customWidth="1"/>
    <col min="5" max="5" width="9.28515625" customWidth="1"/>
    <col min="6" max="6" width="16.85546875" customWidth="1"/>
    <col min="7" max="7" width="15.28515625" customWidth="1"/>
    <col min="8" max="8" width="15.140625" customWidth="1"/>
    <col min="9" max="9" width="17.7109375" customWidth="1"/>
  </cols>
  <sheetData>
    <row r="1" spans="1:9" ht="28.5" customHeight="1">
      <c r="H1" s="73" t="s">
        <v>54</v>
      </c>
      <c r="I1" s="74"/>
    </row>
    <row r="2" spans="1:9" ht="18.75">
      <c r="A2" s="76" t="s">
        <v>38</v>
      </c>
      <c r="B2" s="76"/>
      <c r="C2" s="76"/>
      <c r="D2" s="76"/>
      <c r="E2" s="76"/>
      <c r="F2" s="76"/>
      <c r="G2" s="76"/>
      <c r="H2" s="76"/>
      <c r="I2" s="76"/>
    </row>
    <row r="3" spans="1:9" ht="49.5" customHeight="1">
      <c r="A3" s="79" t="s">
        <v>61</v>
      </c>
      <c r="B3" s="80"/>
      <c r="C3" s="80"/>
      <c r="D3" s="80"/>
      <c r="E3" s="80"/>
      <c r="F3" s="80"/>
      <c r="G3" s="80"/>
      <c r="H3" s="80"/>
      <c r="I3" s="80"/>
    </row>
    <row r="4" spans="1:9" ht="49.5" customHeight="1" thickBot="1">
      <c r="A4" s="58"/>
      <c r="B4" s="59"/>
      <c r="C4" s="59"/>
      <c r="D4" s="61"/>
      <c r="E4" s="61"/>
      <c r="F4" s="59"/>
      <c r="G4" s="59"/>
      <c r="H4" s="59"/>
      <c r="I4" s="59"/>
    </row>
    <row r="5" spans="1:9" ht="93" customHeight="1" thickBot="1">
      <c r="A5" s="84" t="s">
        <v>6</v>
      </c>
      <c r="B5" s="2" t="s">
        <v>43</v>
      </c>
      <c r="C5" s="2" t="s">
        <v>44</v>
      </c>
      <c r="D5" s="2" t="s">
        <v>49</v>
      </c>
      <c r="E5" s="2" t="s">
        <v>52</v>
      </c>
      <c r="F5" s="2" t="s">
        <v>45</v>
      </c>
      <c r="G5" s="2" t="s">
        <v>10</v>
      </c>
      <c r="H5" s="2" t="s">
        <v>11</v>
      </c>
      <c r="I5" s="2" t="s">
        <v>51</v>
      </c>
    </row>
    <row r="6" spans="1:9" ht="30.75" thickBot="1">
      <c r="A6" s="85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>
      <c r="A8" s="10" t="s">
        <v>12</v>
      </c>
      <c r="B8" s="39">
        <f>4001.5/G8</f>
        <v>76.95192307692308</v>
      </c>
      <c r="C8" s="39">
        <f>7277.1/G8</f>
        <v>139.94423076923078</v>
      </c>
      <c r="D8" s="63">
        <v>1</v>
      </c>
      <c r="E8" s="63">
        <v>1</v>
      </c>
      <c r="F8" s="39">
        <f>B8+C8</f>
        <v>216.89615384615388</v>
      </c>
      <c r="G8" s="40">
        <f>'2021'!C8</f>
        <v>52</v>
      </c>
      <c r="H8" s="40">
        <v>1204.3</v>
      </c>
      <c r="I8" s="41">
        <f>(F8*G8)+H8</f>
        <v>12482.900000000001</v>
      </c>
    </row>
    <row r="9" spans="1:9" ht="44.25" customHeight="1" thickBot="1">
      <c r="A9" s="11" t="s">
        <v>13</v>
      </c>
      <c r="B9" s="37">
        <f>7047.2/G9</f>
        <v>132.96603773584906</v>
      </c>
      <c r="C9" s="37">
        <f>7424.1/G9</f>
        <v>140.07735849056604</v>
      </c>
      <c r="D9" s="63">
        <v>1</v>
      </c>
      <c r="E9" s="63">
        <v>1</v>
      </c>
      <c r="F9" s="39">
        <f>B9+C9</f>
        <v>273.0433962264151</v>
      </c>
      <c r="G9" s="38">
        <f>'2021'!C9</f>
        <v>53</v>
      </c>
      <c r="H9" s="38">
        <v>1228.7</v>
      </c>
      <c r="I9" s="41">
        <f>(F9*G9)+H9</f>
        <v>15700</v>
      </c>
    </row>
    <row r="10" spans="1:9" ht="33" customHeight="1" thickBot="1">
      <c r="A10" s="47" t="s">
        <v>36</v>
      </c>
      <c r="B10" s="48">
        <f>251.3/G10</f>
        <v>4.1883333333333335</v>
      </c>
      <c r="C10" s="48">
        <v>0</v>
      </c>
      <c r="D10" s="63">
        <v>1</v>
      </c>
      <c r="E10" s="63">
        <v>1</v>
      </c>
      <c r="F10" s="49">
        <f>B10+C10</f>
        <v>4.1883333333333335</v>
      </c>
      <c r="G10" s="50">
        <f>'2021'!C10</f>
        <v>60</v>
      </c>
      <c r="H10" s="50">
        <v>0</v>
      </c>
      <c r="I10" s="51">
        <f>(F10*G10)+H10</f>
        <v>251.3</v>
      </c>
    </row>
    <row r="11" spans="1:9" ht="33" customHeight="1" thickBot="1">
      <c r="A11" s="12" t="s">
        <v>37</v>
      </c>
      <c r="B11" s="35">
        <f>1036.5/G11</f>
        <v>9.8714285714285719</v>
      </c>
      <c r="C11" s="35">
        <v>0</v>
      </c>
      <c r="D11" s="63">
        <v>1</v>
      </c>
      <c r="E11" s="63">
        <v>1</v>
      </c>
      <c r="F11" s="39">
        <f>B11+C11</f>
        <v>9.8714285714285719</v>
      </c>
      <c r="G11" s="54">
        <f>'2021'!C11</f>
        <v>105</v>
      </c>
      <c r="H11" s="55">
        <v>0</v>
      </c>
      <c r="I11" s="41">
        <f>(F11*G11)+H11</f>
        <v>1036.5</v>
      </c>
    </row>
    <row r="12" spans="1:9">
      <c r="A12" s="11" t="s">
        <v>0</v>
      </c>
      <c r="B12" s="77">
        <v>120.4</v>
      </c>
      <c r="C12" s="77">
        <v>102.62</v>
      </c>
      <c r="D12" s="89">
        <v>1</v>
      </c>
      <c r="E12" s="92">
        <v>1</v>
      </c>
      <c r="F12" s="87">
        <v>223.02</v>
      </c>
      <c r="G12" s="77">
        <v>111</v>
      </c>
      <c r="H12" s="77">
        <f>H8+H9+H10</f>
        <v>2433</v>
      </c>
      <c r="I12" s="77">
        <f>I8+I9+I10+I11</f>
        <v>29470.7</v>
      </c>
    </row>
    <row r="13" spans="1:9">
      <c r="A13" s="11" t="s">
        <v>1</v>
      </c>
      <c r="B13" s="77"/>
      <c r="C13" s="77"/>
      <c r="D13" s="90"/>
      <c r="E13" s="93"/>
      <c r="F13" s="87"/>
      <c r="G13" s="77"/>
      <c r="H13" s="77"/>
      <c r="I13" s="77"/>
    </row>
    <row r="14" spans="1:9" ht="15.75" thickBot="1">
      <c r="A14" s="10" t="s">
        <v>2</v>
      </c>
      <c r="B14" s="78"/>
      <c r="C14" s="78"/>
      <c r="D14" s="91"/>
      <c r="E14" s="94"/>
      <c r="F14" s="88"/>
      <c r="G14" s="78"/>
      <c r="H14" s="78"/>
      <c r="I14" s="78"/>
    </row>
    <row r="15" spans="1:9">
      <c r="A15" s="1"/>
    </row>
    <row r="18" spans="1:14" ht="16.5">
      <c r="A18" s="5" t="s">
        <v>3</v>
      </c>
    </row>
    <row r="19" spans="1:14" ht="41.25" customHeight="1">
      <c r="A19" s="75" t="s">
        <v>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</sheetData>
  <mergeCells count="13">
    <mergeCell ref="H1:I1"/>
    <mergeCell ref="A2:I2"/>
    <mergeCell ref="A3:I3"/>
    <mergeCell ref="A5:A6"/>
    <mergeCell ref="A19:N19"/>
    <mergeCell ref="B12:B14"/>
    <mergeCell ref="C12:C14"/>
    <mergeCell ref="F12:F14"/>
    <mergeCell ref="G12:G14"/>
    <mergeCell ref="H12:H14"/>
    <mergeCell ref="D12:D14"/>
    <mergeCell ref="E12:E14"/>
    <mergeCell ref="I12:I14"/>
  </mergeCells>
  <pageMargins left="0.7" right="0.7" top="0.75" bottom="0.75" header="0.3" footer="0.3"/>
  <pageSetup paperSize="9" scale="7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Normal="100" workbookViewId="0">
      <selection activeCell="K10" sqref="K10"/>
    </sheetView>
  </sheetViews>
  <sheetFormatPr defaultRowHeight="15"/>
  <cols>
    <col min="1" max="1" width="27.140625" customWidth="1"/>
    <col min="2" max="2" width="21" customWidth="1"/>
    <col min="3" max="3" width="20.85546875" customWidth="1"/>
    <col min="4" max="4" width="13.85546875" customWidth="1"/>
    <col min="5" max="5" width="13.140625" customWidth="1"/>
    <col min="6" max="6" width="16.85546875" customWidth="1"/>
    <col min="7" max="7" width="15.28515625" customWidth="1"/>
    <col min="8" max="8" width="15.140625" customWidth="1"/>
    <col min="9" max="9" width="17.7109375" customWidth="1"/>
  </cols>
  <sheetData>
    <row r="1" spans="1:9" ht="28.5" customHeight="1">
      <c r="H1" s="73" t="s">
        <v>55</v>
      </c>
      <c r="I1" s="74"/>
    </row>
    <row r="2" spans="1:9" ht="18.75">
      <c r="A2" s="76" t="s">
        <v>38</v>
      </c>
      <c r="B2" s="76"/>
      <c r="C2" s="76"/>
      <c r="D2" s="76"/>
      <c r="E2" s="76"/>
      <c r="F2" s="76"/>
      <c r="G2" s="76"/>
      <c r="H2" s="76"/>
      <c r="I2" s="76"/>
    </row>
    <row r="3" spans="1:9" ht="49.5" customHeight="1" thickBot="1">
      <c r="A3" s="86" t="s">
        <v>62</v>
      </c>
      <c r="B3" s="101"/>
      <c r="C3" s="101"/>
      <c r="D3" s="101"/>
      <c r="E3" s="101"/>
      <c r="F3" s="101"/>
      <c r="G3" s="101"/>
      <c r="H3" s="101"/>
      <c r="I3" s="101"/>
    </row>
    <row r="4" spans="1:9" ht="93" customHeight="1" thickBot="1">
      <c r="A4" s="84" t="s">
        <v>6</v>
      </c>
      <c r="B4" s="2" t="s">
        <v>43</v>
      </c>
      <c r="C4" s="2" t="s">
        <v>44</v>
      </c>
      <c r="D4" s="2" t="s">
        <v>49</v>
      </c>
      <c r="E4" s="2" t="s">
        <v>50</v>
      </c>
      <c r="F4" s="2" t="s">
        <v>45</v>
      </c>
      <c r="G4" s="2" t="s">
        <v>10</v>
      </c>
      <c r="H4" s="2" t="s">
        <v>11</v>
      </c>
      <c r="I4" s="2" t="s">
        <v>51</v>
      </c>
    </row>
    <row r="5" spans="1:9" ht="32.25" thickBot="1">
      <c r="A5" s="85"/>
      <c r="B5" s="64" t="s">
        <v>7</v>
      </c>
      <c r="C5" s="65" t="s">
        <v>7</v>
      </c>
      <c r="D5" s="65"/>
      <c r="E5" s="65"/>
      <c r="F5" s="65" t="s">
        <v>7</v>
      </c>
      <c r="G5" s="66" t="s">
        <v>8</v>
      </c>
      <c r="H5" s="66" t="s">
        <v>9</v>
      </c>
      <c r="I5" s="66" t="s">
        <v>9</v>
      </c>
    </row>
    <row r="6" spans="1:9" ht="15.75" thickBot="1">
      <c r="A6" s="6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4">
        <v>7</v>
      </c>
      <c r="H6" s="4">
        <v>8</v>
      </c>
      <c r="I6" s="4">
        <v>9</v>
      </c>
    </row>
    <row r="7" spans="1:9" ht="29.25" customHeight="1" thickBot="1">
      <c r="A7" s="10" t="s">
        <v>12</v>
      </c>
      <c r="B7" s="39">
        <f>4159.2/G7</f>
        <v>79.984615384615381</v>
      </c>
      <c r="C7" s="39">
        <f>7400.2/G7</f>
        <v>142.31153846153845</v>
      </c>
      <c r="D7" s="62">
        <v>1</v>
      </c>
      <c r="E7" s="62">
        <v>1</v>
      </c>
      <c r="F7" s="39">
        <f>B7+C7</f>
        <v>222.29615384615383</v>
      </c>
      <c r="G7" s="40">
        <f>'2022'!C8</f>
        <v>52</v>
      </c>
      <c r="H7" s="40">
        <v>1170.3</v>
      </c>
      <c r="I7" s="41">
        <f>(F7*G7)+H7</f>
        <v>12729.699999999999</v>
      </c>
    </row>
    <row r="8" spans="1:9" ht="44.25" customHeight="1" thickBot="1">
      <c r="A8" s="11" t="s">
        <v>13</v>
      </c>
      <c r="B8" s="37">
        <f>7167.5/G8</f>
        <v>127.99107142857143</v>
      </c>
      <c r="C8" s="37">
        <f>7984.9/G8</f>
        <v>142.58750000000001</v>
      </c>
      <c r="D8" s="62">
        <v>1</v>
      </c>
      <c r="E8" s="62">
        <v>1</v>
      </c>
      <c r="F8" s="39">
        <f>B8+C8</f>
        <v>270.57857142857142</v>
      </c>
      <c r="G8" s="38">
        <f>'2022'!C9</f>
        <v>56</v>
      </c>
      <c r="H8" s="38">
        <v>1262.7</v>
      </c>
      <c r="I8" s="41">
        <f>(F8*G8)+H8</f>
        <v>16415.099999999999</v>
      </c>
    </row>
    <row r="9" spans="1:9" ht="33" customHeight="1" thickBot="1">
      <c r="A9" s="12" t="s">
        <v>36</v>
      </c>
      <c r="B9" s="35">
        <f>252.6/G9</f>
        <v>4.21</v>
      </c>
      <c r="C9" s="35">
        <v>0</v>
      </c>
      <c r="D9" s="62">
        <v>1</v>
      </c>
      <c r="E9" s="62">
        <v>1</v>
      </c>
      <c r="F9" s="39">
        <f>B9+C9</f>
        <v>4.21</v>
      </c>
      <c r="G9" s="36">
        <f>'2022'!C10</f>
        <v>60</v>
      </c>
      <c r="H9" s="36">
        <v>0</v>
      </c>
      <c r="I9" s="41">
        <f>(F9*G9)+H9</f>
        <v>252.6</v>
      </c>
    </row>
    <row r="10" spans="1:9" ht="33" customHeight="1" thickBot="1">
      <c r="A10" s="12" t="s">
        <v>37</v>
      </c>
      <c r="B10" s="35">
        <f>1128.5/G10</f>
        <v>10.449074074074074</v>
      </c>
      <c r="C10" s="53">
        <v>0</v>
      </c>
      <c r="D10" s="67">
        <v>1</v>
      </c>
      <c r="E10" s="62">
        <v>1</v>
      </c>
      <c r="F10" s="39">
        <f>B10+C10</f>
        <v>10.449074074074074</v>
      </c>
      <c r="G10" s="54">
        <f>'2022'!C11</f>
        <v>108</v>
      </c>
      <c r="H10" s="55">
        <v>0</v>
      </c>
      <c r="I10" s="41">
        <f>(F10*G10)+H10</f>
        <v>1128.5</v>
      </c>
    </row>
    <row r="11" spans="1:9">
      <c r="A11" s="11" t="s">
        <v>0</v>
      </c>
      <c r="B11" s="77">
        <v>121.71</v>
      </c>
      <c r="C11" s="77">
        <v>104.99</v>
      </c>
      <c r="D11" s="95">
        <v>1</v>
      </c>
      <c r="E11" s="98">
        <v>1</v>
      </c>
      <c r="F11" s="87">
        <v>226.7</v>
      </c>
      <c r="G11" s="77">
        <v>114</v>
      </c>
      <c r="H11" s="77">
        <f>H7+H8+H9+H10</f>
        <v>2433</v>
      </c>
      <c r="I11" s="77">
        <f>I7+I8+I9+I10</f>
        <v>30525.899999999994</v>
      </c>
    </row>
    <row r="12" spans="1:9">
      <c r="A12" s="11" t="s">
        <v>1</v>
      </c>
      <c r="B12" s="77"/>
      <c r="C12" s="77"/>
      <c r="D12" s="96"/>
      <c r="E12" s="99"/>
      <c r="F12" s="87"/>
      <c r="G12" s="77"/>
      <c r="H12" s="77"/>
      <c r="I12" s="77"/>
    </row>
    <row r="13" spans="1:9" ht="15.75" thickBot="1">
      <c r="A13" s="10" t="s">
        <v>2</v>
      </c>
      <c r="B13" s="78"/>
      <c r="C13" s="78"/>
      <c r="D13" s="97"/>
      <c r="E13" s="100"/>
      <c r="F13" s="88"/>
      <c r="G13" s="78"/>
      <c r="H13" s="78"/>
      <c r="I13" s="78"/>
    </row>
    <row r="14" spans="1:9">
      <c r="A14" s="1"/>
    </row>
    <row r="17" spans="1:14" ht="16.5">
      <c r="A17" s="5" t="s">
        <v>3</v>
      </c>
    </row>
    <row r="18" spans="1:14" ht="41.25" customHeight="1">
      <c r="A18" s="75" t="s">
        <v>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</sheetData>
  <mergeCells count="13">
    <mergeCell ref="H1:I1"/>
    <mergeCell ref="A2:I2"/>
    <mergeCell ref="A3:I3"/>
    <mergeCell ref="A4:A5"/>
    <mergeCell ref="A18:N18"/>
    <mergeCell ref="B11:B13"/>
    <mergeCell ref="C11:C13"/>
    <mergeCell ref="F11:F13"/>
    <mergeCell ref="G11:G13"/>
    <mergeCell ref="H11:H13"/>
    <mergeCell ref="D11:D13"/>
    <mergeCell ref="E11:E13"/>
    <mergeCell ref="I11:I13"/>
  </mergeCells>
  <pageMargins left="0.7" right="0.7" top="0.75" bottom="0.75" header="0.3" footer="0.3"/>
  <pageSetup paperSize="9" scale="7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topLeftCell="C4" zoomScaleNormal="100" workbookViewId="0">
      <selection activeCell="Y18" sqref="Y18"/>
    </sheetView>
  </sheetViews>
  <sheetFormatPr defaultRowHeight="15"/>
  <cols>
    <col min="1" max="1" width="21.140625" customWidth="1"/>
    <col min="2" max="2" width="7.28515625" customWidth="1"/>
    <col min="3" max="3" width="7.85546875" customWidth="1"/>
    <col min="4" max="4" width="11.5703125" customWidth="1"/>
    <col min="5" max="5" width="10.42578125" customWidth="1"/>
    <col min="6" max="6" width="9.7109375" customWidth="1"/>
    <col min="7" max="7" width="10.140625" customWidth="1"/>
    <col min="8" max="8" width="14.85546875" customWidth="1"/>
    <col min="9" max="9" width="9.7109375" customWidth="1"/>
    <col min="10" max="10" width="0.28515625" customWidth="1"/>
    <col min="11" max="11" width="9.7109375" customWidth="1"/>
    <col min="12" max="12" width="11.5703125" customWidth="1"/>
    <col min="17" max="17" width="12.85546875" customWidth="1"/>
    <col min="21" max="21" width="11.28515625" customWidth="1"/>
    <col min="22" max="24" width="8.5703125" customWidth="1"/>
    <col min="25" max="25" width="9.140625" style="13"/>
  </cols>
  <sheetData>
    <row r="1" spans="1:25" ht="18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18.75">
      <c r="A2" s="102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8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8.75">
      <c r="A4" s="102" t="s">
        <v>38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56"/>
      <c r="T4" s="56"/>
      <c r="U4" s="56"/>
      <c r="V4" s="56"/>
      <c r="W4" s="56"/>
      <c r="X4" s="56"/>
      <c r="Y4" s="56"/>
    </row>
    <row r="5" spans="1:25" ht="18.75">
      <c r="A5" s="102" t="s">
        <v>58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</row>
    <row r="6" spans="1:25" ht="15.75" thickBot="1"/>
    <row r="7" spans="1:25" ht="36.75" customHeight="1" thickBot="1">
      <c r="A7" s="104" t="s">
        <v>30</v>
      </c>
      <c r="B7" s="105" t="s">
        <v>25</v>
      </c>
      <c r="C7" s="105" t="s">
        <v>21</v>
      </c>
      <c r="D7" s="108" t="s">
        <v>29</v>
      </c>
      <c r="E7" s="109"/>
      <c r="F7" s="109"/>
      <c r="G7" s="109"/>
      <c r="H7" s="109"/>
      <c r="I7" s="109"/>
      <c r="J7" s="110"/>
      <c r="K7" s="111"/>
      <c r="L7" s="112" t="s">
        <v>5</v>
      </c>
      <c r="M7" s="110"/>
      <c r="N7" s="110"/>
      <c r="O7" s="110"/>
      <c r="P7" s="110"/>
      <c r="Q7" s="110"/>
      <c r="R7" s="110"/>
      <c r="S7" s="110"/>
      <c r="T7" s="111"/>
      <c r="U7" s="113" t="s">
        <v>11</v>
      </c>
      <c r="V7" s="114"/>
      <c r="W7" s="114"/>
      <c r="X7" s="114"/>
      <c r="Y7" s="106" t="s">
        <v>39</v>
      </c>
    </row>
    <row r="8" spans="1:25" ht="77.25" customHeight="1">
      <c r="A8" s="104"/>
      <c r="B8" s="104"/>
      <c r="C8" s="104"/>
      <c r="D8" s="14" t="s">
        <v>24</v>
      </c>
      <c r="E8" s="71" t="s">
        <v>63</v>
      </c>
      <c r="F8" s="15" t="s">
        <v>32</v>
      </c>
      <c r="G8" s="15" t="s">
        <v>19</v>
      </c>
      <c r="H8" s="15" t="s">
        <v>14</v>
      </c>
      <c r="I8" s="15" t="s">
        <v>15</v>
      </c>
      <c r="J8" s="15"/>
      <c r="K8" s="15" t="s">
        <v>22</v>
      </c>
      <c r="L8" s="15" t="s">
        <v>23</v>
      </c>
      <c r="M8" s="15" t="s">
        <v>16</v>
      </c>
      <c r="N8" s="15" t="s">
        <v>26</v>
      </c>
      <c r="O8" s="15" t="s">
        <v>34</v>
      </c>
      <c r="P8" s="15" t="s">
        <v>28</v>
      </c>
      <c r="Q8" s="15" t="s">
        <v>17</v>
      </c>
      <c r="R8" s="15" t="s">
        <v>18</v>
      </c>
      <c r="S8" s="15" t="s">
        <v>20</v>
      </c>
      <c r="T8" s="16" t="s">
        <v>22</v>
      </c>
      <c r="U8" s="15" t="s">
        <v>27</v>
      </c>
      <c r="V8" s="15" t="s">
        <v>34</v>
      </c>
      <c r="W8" s="17" t="s">
        <v>33</v>
      </c>
      <c r="X8" s="18" t="s">
        <v>22</v>
      </c>
      <c r="Y8" s="107"/>
    </row>
    <row r="9" spans="1:25" ht="39" thickBot="1">
      <c r="A9" s="10" t="s">
        <v>12</v>
      </c>
      <c r="B9" s="57">
        <v>0.49099999999999999</v>
      </c>
      <c r="C9" s="20">
        <v>52</v>
      </c>
      <c r="D9" s="21">
        <f>3769.8-620.1</f>
        <v>3149.7000000000003</v>
      </c>
      <c r="E9" s="21">
        <v>42.3</v>
      </c>
      <c r="F9" s="21"/>
      <c r="G9" s="22"/>
      <c r="H9" s="22">
        <f>H15*B9</f>
        <v>172.4392</v>
      </c>
      <c r="I9" s="22">
        <f>I15*B9</f>
        <v>14.1408</v>
      </c>
      <c r="J9" s="22"/>
      <c r="K9" s="23">
        <f>SUM(D9:J9)</f>
        <v>3378.5800000000004</v>
      </c>
      <c r="L9" s="22">
        <f>L15*B9</f>
        <v>4812.0946000000004</v>
      </c>
      <c r="M9" s="22">
        <f>M15*B9</f>
        <v>6.1375000000000002</v>
      </c>
      <c r="N9" s="22">
        <f>N15*B9</f>
        <v>247.464</v>
      </c>
      <c r="O9" s="21">
        <f>O15*B9</f>
        <v>954.84769999999992</v>
      </c>
      <c r="P9" s="22">
        <f>P15*B9</f>
        <v>27.004999999999999</v>
      </c>
      <c r="Q9" s="22">
        <f>Q15*B9</f>
        <v>583.01340000000005</v>
      </c>
      <c r="R9" s="22">
        <f>R15*B9</f>
        <v>175.43430000000001</v>
      </c>
      <c r="S9" s="22">
        <f>S15*B9</f>
        <v>160.75340000000003</v>
      </c>
      <c r="T9" s="23">
        <f>SUM(L9:S9)</f>
        <v>6966.7498999999998</v>
      </c>
      <c r="U9" s="22">
        <f>U15*B9</f>
        <v>27.495999999999999</v>
      </c>
      <c r="V9" s="21">
        <f>V15*B9</f>
        <v>954.84769999999992</v>
      </c>
      <c r="W9" s="30">
        <f>W15*B9</f>
        <v>0</v>
      </c>
      <c r="X9" s="28">
        <f>SUM(U9:W9)</f>
        <v>982.3436999999999</v>
      </c>
      <c r="Y9" s="29">
        <f>K9+T9+X9</f>
        <v>11327.6736</v>
      </c>
    </row>
    <row r="10" spans="1:25" ht="51.75" thickBot="1">
      <c r="A10" s="11" t="s">
        <v>13</v>
      </c>
      <c r="B10" s="57">
        <v>0.50900000000000001</v>
      </c>
      <c r="C10" s="20">
        <v>54</v>
      </c>
      <c r="D10" s="21">
        <f>6711.2-642.8</f>
        <v>6068.4</v>
      </c>
      <c r="E10" s="21">
        <v>60.3</v>
      </c>
      <c r="F10" s="21">
        <f>40.1-35.6</f>
        <v>4.5</v>
      </c>
      <c r="G10" s="22"/>
      <c r="H10" s="22">
        <f>H15*B10</f>
        <v>178.76079999999999</v>
      </c>
      <c r="I10" s="22">
        <f>I15*B10</f>
        <v>14.6592</v>
      </c>
      <c r="J10" s="22"/>
      <c r="K10" s="23">
        <f>SUM(D10:J10)</f>
        <v>6326.62</v>
      </c>
      <c r="L10" s="22">
        <f>L15*B10</f>
        <v>4988.5054</v>
      </c>
      <c r="M10" s="22">
        <f>M15*B10</f>
        <v>6.3624999999999998</v>
      </c>
      <c r="N10" s="22">
        <f>N15*B10</f>
        <v>256.536</v>
      </c>
      <c r="O10" s="21">
        <f>O15*B10</f>
        <v>989.8522999999999</v>
      </c>
      <c r="P10" s="22">
        <f>P15*B10</f>
        <v>27.995000000000001</v>
      </c>
      <c r="Q10" s="22">
        <f>Q15*B10</f>
        <v>604.38660000000004</v>
      </c>
      <c r="R10" s="22">
        <f>R15*B10</f>
        <v>181.8657</v>
      </c>
      <c r="S10" s="22">
        <f>S15*B10</f>
        <v>166.64660000000001</v>
      </c>
      <c r="T10" s="23">
        <f>SUM(L10:S10)</f>
        <v>7222.1500999999998</v>
      </c>
      <c r="U10" s="22">
        <f>U15*B10</f>
        <v>28.504000000000001</v>
      </c>
      <c r="V10" s="21">
        <f>V15*B10</f>
        <v>989.8522999999999</v>
      </c>
      <c r="W10" s="30">
        <f>W15*B10</f>
        <v>0</v>
      </c>
      <c r="X10" s="28">
        <f>SUM(U10:W10)</f>
        <v>1018.3562999999999</v>
      </c>
      <c r="Y10" s="29">
        <f>K10+T10+X10</f>
        <v>14567.126399999999</v>
      </c>
    </row>
    <row r="11" spans="1:25" ht="39" thickBot="1">
      <c r="A11" s="12" t="s">
        <v>35</v>
      </c>
      <c r="B11" s="19"/>
      <c r="C11" s="20">
        <v>63</v>
      </c>
      <c r="D11" s="21"/>
      <c r="E11" s="21"/>
      <c r="F11" s="21"/>
      <c r="G11" s="22">
        <v>187.5</v>
      </c>
      <c r="H11" s="21">
        <v>60</v>
      </c>
      <c r="I11" s="22"/>
      <c r="J11" s="22"/>
      <c r="K11" s="23">
        <f>SUM(D11:J11)</f>
        <v>247.5</v>
      </c>
      <c r="L11" s="22"/>
      <c r="M11" s="22"/>
      <c r="N11" s="22"/>
      <c r="O11" s="21"/>
      <c r="P11" s="22"/>
      <c r="Q11" s="22"/>
      <c r="R11" s="22"/>
      <c r="S11" s="22"/>
      <c r="T11" s="23">
        <f>SUM(L11:S11)</f>
        <v>0</v>
      </c>
      <c r="U11" s="22"/>
      <c r="V11" s="21"/>
      <c r="W11" s="30"/>
      <c r="X11" s="28">
        <f>SUM(U11:W11)</f>
        <v>0</v>
      </c>
      <c r="Y11" s="29">
        <f>K11+T11+X11</f>
        <v>247.5</v>
      </c>
    </row>
    <row r="12" spans="1:25" ht="30.75" customHeight="1" thickBot="1">
      <c r="A12" s="12" t="s">
        <v>37</v>
      </c>
      <c r="B12" s="44"/>
      <c r="C12" s="20">
        <v>106</v>
      </c>
      <c r="D12" s="34"/>
      <c r="E12" s="34"/>
      <c r="F12" s="34"/>
      <c r="G12" s="22">
        <f>995.5-277.8+93.5-72.3</f>
        <v>738.90000000000009</v>
      </c>
      <c r="H12" s="34"/>
      <c r="I12" s="22"/>
      <c r="J12" s="22"/>
      <c r="K12" s="23">
        <f>SUM(D12:J12)</f>
        <v>738.90000000000009</v>
      </c>
      <c r="L12" s="22"/>
      <c r="M12" s="22"/>
      <c r="N12" s="22"/>
      <c r="O12" s="34"/>
      <c r="P12" s="22"/>
      <c r="Q12" s="22"/>
      <c r="R12" s="22"/>
      <c r="S12" s="22"/>
      <c r="T12" s="23"/>
      <c r="U12" s="22"/>
      <c r="V12" s="34"/>
      <c r="W12" s="30"/>
      <c r="X12" s="28">
        <f>SUM(U12:W12)</f>
        <v>0</v>
      </c>
      <c r="Y12" s="29">
        <f>K12+T12+X12</f>
        <v>738.90000000000009</v>
      </c>
    </row>
    <row r="13" spans="1:25" s="13" customFormat="1" ht="15.75" thickBot="1">
      <c r="A13" s="45" t="s">
        <v>22</v>
      </c>
      <c r="B13" s="25">
        <f>B9+B10+B11</f>
        <v>1</v>
      </c>
      <c r="C13" s="20">
        <v>122</v>
      </c>
      <c r="D13" s="24">
        <f>SUM(D9:D11)</f>
        <v>9218.1</v>
      </c>
      <c r="E13" s="24">
        <f>SUM(E9:E11)</f>
        <v>102.6</v>
      </c>
      <c r="F13" s="24">
        <f>SUM(F9:F11)</f>
        <v>4.5</v>
      </c>
      <c r="G13" s="23">
        <f>SUM(G9:G12)</f>
        <v>926.40000000000009</v>
      </c>
      <c r="H13" s="24">
        <f>SUM(H9:H11)</f>
        <v>411.2</v>
      </c>
      <c r="I13" s="24">
        <f>SUM(I9:I11)</f>
        <v>28.8</v>
      </c>
      <c r="J13" s="24">
        <f>SUM(J9:J11)</f>
        <v>0</v>
      </c>
      <c r="K13" s="23">
        <f>SUM(K9:K12)</f>
        <v>10691.6</v>
      </c>
      <c r="L13" s="24">
        <f t="shared" ref="L13:X13" si="0">SUM(L9:L11)</f>
        <v>9800.6</v>
      </c>
      <c r="M13" s="24">
        <f t="shared" si="0"/>
        <v>12.5</v>
      </c>
      <c r="N13" s="24">
        <f t="shared" si="0"/>
        <v>504</v>
      </c>
      <c r="O13" s="24">
        <f>SUM(O9:O11)</f>
        <v>1944.6999999999998</v>
      </c>
      <c r="P13" s="24">
        <f t="shared" si="0"/>
        <v>55</v>
      </c>
      <c r="Q13" s="24">
        <f t="shared" si="0"/>
        <v>1187.4000000000001</v>
      </c>
      <c r="R13" s="24">
        <f t="shared" si="0"/>
        <v>357.3</v>
      </c>
      <c r="S13" s="24">
        <f t="shared" si="0"/>
        <v>327.40000000000003</v>
      </c>
      <c r="T13" s="23">
        <f t="shared" si="0"/>
        <v>14188.9</v>
      </c>
      <c r="U13" s="24">
        <f t="shared" si="0"/>
        <v>56</v>
      </c>
      <c r="V13" s="24">
        <f t="shared" si="0"/>
        <v>1944.6999999999998</v>
      </c>
      <c r="W13" s="24">
        <f t="shared" si="0"/>
        <v>0</v>
      </c>
      <c r="X13" s="28">
        <f t="shared" si="0"/>
        <v>2000.6999999999998</v>
      </c>
      <c r="Y13" s="46">
        <f>SUM(Y9:Y12)</f>
        <v>26881.200000000001</v>
      </c>
    </row>
    <row r="14" spans="1: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</row>
    <row r="15" spans="1:25">
      <c r="A15" s="26"/>
      <c r="B15" s="26">
        <v>106</v>
      </c>
      <c r="C15" s="26"/>
      <c r="D15" s="26"/>
      <c r="E15" s="26"/>
      <c r="F15" s="26">
        <v>40.1</v>
      </c>
      <c r="G15" s="26">
        <v>325.8</v>
      </c>
      <c r="H15" s="26">
        <v>351.2</v>
      </c>
      <c r="I15" s="26">
        <v>28.8</v>
      </c>
      <c r="J15" s="26"/>
      <c r="K15" s="26"/>
      <c r="L15" s="26">
        <f>9604.6+96+4+96</f>
        <v>9800.6</v>
      </c>
      <c r="M15" s="72">
        <v>12.5</v>
      </c>
      <c r="N15" s="72">
        <v>504</v>
      </c>
      <c r="O15" s="72">
        <f>2984.7-20-1020</f>
        <v>1944.6999999999998</v>
      </c>
      <c r="P15" s="72">
        <v>55</v>
      </c>
      <c r="Q15" s="31">
        <f>1237.4-50</f>
        <v>1187.4000000000001</v>
      </c>
      <c r="R15" s="72">
        <f>392.3-35</f>
        <v>357.3</v>
      </c>
      <c r="S15" s="26">
        <f>326.8-62+102-39.4</f>
        <v>327.40000000000003</v>
      </c>
      <c r="T15" s="26"/>
      <c r="U15" s="31">
        <v>56</v>
      </c>
      <c r="V15" s="31">
        <f>2984.7-20-1020</f>
        <v>1944.6999999999998</v>
      </c>
      <c r="W15" s="26"/>
      <c r="X15" s="26"/>
      <c r="Y15" s="27"/>
    </row>
    <row r="16" spans="1:25">
      <c r="D16">
        <f>D13+L15</f>
        <v>19018.7</v>
      </c>
    </row>
    <row r="17" spans="3:25">
      <c r="O17">
        <f>N15+O15+P15+U15+V15</f>
        <v>4504.3999999999996</v>
      </c>
      <c r="Y17" s="13">
        <v>26881.200000000001</v>
      </c>
    </row>
    <row r="18" spans="3:25">
      <c r="Q18" t="s">
        <v>31</v>
      </c>
      <c r="Y18" s="13">
        <f>Y17-Y13</f>
        <v>0</v>
      </c>
    </row>
    <row r="23" spans="3:25">
      <c r="C23" s="33"/>
    </row>
    <row r="26" spans="3:25">
      <c r="H26" s="13"/>
    </row>
    <row r="29" spans="3:25">
      <c r="N29" s="13"/>
    </row>
  </sheetData>
  <mergeCells count="12">
    <mergeCell ref="A1:Y1"/>
    <mergeCell ref="A5:Y5"/>
    <mergeCell ref="A7:A8"/>
    <mergeCell ref="B7:B8"/>
    <mergeCell ref="C7:C8"/>
    <mergeCell ref="Y7:Y8"/>
    <mergeCell ref="D7:K7"/>
    <mergeCell ref="L7:T7"/>
    <mergeCell ref="A4:R4"/>
    <mergeCell ref="A2:Y2"/>
    <mergeCell ref="A3:Y3"/>
    <mergeCell ref="U7:X7"/>
  </mergeCells>
  <pageMargins left="0.31496062992125984" right="0.11811023622047245" top="0.74803149606299213" bottom="0.74803149606299213" header="0.31496062992125984" footer="0.31496062992125984"/>
  <pageSetup paperSize="9" scale="56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zoomScaleNormal="100" workbookViewId="0">
      <selection activeCell="H17" sqref="H17"/>
    </sheetView>
  </sheetViews>
  <sheetFormatPr defaultRowHeight="15"/>
  <cols>
    <col min="1" max="1" width="21.140625" customWidth="1"/>
    <col min="2" max="2" width="7.28515625" customWidth="1"/>
    <col min="3" max="3" width="7.85546875" customWidth="1"/>
    <col min="4" max="4" width="11.5703125" customWidth="1"/>
    <col min="5" max="5" width="10.42578125" customWidth="1"/>
    <col min="6" max="6" width="9.7109375" customWidth="1"/>
    <col min="7" max="7" width="10.140625" customWidth="1"/>
    <col min="8" max="8" width="14.85546875" customWidth="1"/>
    <col min="9" max="9" width="9.7109375" customWidth="1"/>
    <col min="10" max="10" width="0.28515625" customWidth="1"/>
    <col min="11" max="11" width="9.7109375" customWidth="1"/>
    <col min="12" max="12" width="11.5703125" customWidth="1"/>
    <col min="17" max="17" width="12.85546875" customWidth="1"/>
    <col min="21" max="21" width="11.28515625" customWidth="1"/>
    <col min="22" max="24" width="8.5703125" customWidth="1"/>
    <col min="25" max="25" width="9.140625" style="13"/>
  </cols>
  <sheetData>
    <row r="1" spans="1:25" s="60" customFormat="1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5" s="115" customFormat="1">
      <c r="A2" s="115" t="s">
        <v>46</v>
      </c>
    </row>
    <row r="3" spans="1:25" s="60" customFormat="1" ht="18.75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s="60" customFormat="1" ht="18.75">
      <c r="A4" s="102" t="s">
        <v>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5" ht="15.75" thickBot="1"/>
    <row r="6" spans="1:25" ht="36.75" customHeight="1" thickBot="1">
      <c r="A6" s="104" t="s">
        <v>30</v>
      </c>
      <c r="B6" s="105" t="s">
        <v>25</v>
      </c>
      <c r="C6" s="105" t="s">
        <v>21</v>
      </c>
      <c r="D6" s="108" t="s">
        <v>29</v>
      </c>
      <c r="E6" s="109"/>
      <c r="F6" s="109"/>
      <c r="G6" s="109"/>
      <c r="H6" s="109"/>
      <c r="I6" s="109"/>
      <c r="J6" s="110"/>
      <c r="K6" s="111"/>
      <c r="L6" s="112" t="s">
        <v>5</v>
      </c>
      <c r="M6" s="110"/>
      <c r="N6" s="110"/>
      <c r="O6" s="110"/>
      <c r="P6" s="110"/>
      <c r="Q6" s="110"/>
      <c r="R6" s="110"/>
      <c r="S6" s="110"/>
      <c r="T6" s="111"/>
      <c r="U6" s="113" t="s">
        <v>11</v>
      </c>
      <c r="V6" s="114"/>
      <c r="W6" s="114"/>
      <c r="X6" s="114"/>
      <c r="Y6" s="106" t="s">
        <v>39</v>
      </c>
    </row>
    <row r="7" spans="1:25" ht="77.25" customHeight="1">
      <c r="A7" s="104"/>
      <c r="B7" s="104"/>
      <c r="C7" s="104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07"/>
    </row>
    <row r="8" spans="1:25" ht="39" thickBot="1">
      <c r="A8" s="10" t="s">
        <v>12</v>
      </c>
      <c r="B8" s="57">
        <v>0.495</v>
      </c>
      <c r="C8" s="20">
        <v>52</v>
      </c>
      <c r="D8" s="32">
        <v>3800</v>
      </c>
      <c r="E8" s="32"/>
      <c r="F8" s="32"/>
      <c r="G8" s="22"/>
      <c r="H8" s="22">
        <f>H14*B8</f>
        <v>186.61500000000001</v>
      </c>
      <c r="I8" s="22">
        <f>I14*B8</f>
        <v>14.85</v>
      </c>
      <c r="J8" s="22"/>
      <c r="K8" s="23">
        <f>SUM(D8:J8)</f>
        <v>4001.4649999999997</v>
      </c>
      <c r="L8" s="22">
        <f>L14*B8</f>
        <v>5236.7534999999998</v>
      </c>
      <c r="M8" s="22">
        <f>M14*B8</f>
        <v>6.4349999999999996</v>
      </c>
      <c r="N8" s="22">
        <f>N14*B8</f>
        <v>258.39</v>
      </c>
      <c r="O8" s="43">
        <f>O14*B8</f>
        <v>1175.625</v>
      </c>
      <c r="P8" s="22">
        <f>P14*B8</f>
        <v>30.640499999999999</v>
      </c>
      <c r="Q8" s="22">
        <f>Q14*B8</f>
        <v>240.32249999999999</v>
      </c>
      <c r="R8" s="22">
        <f>R14*B8</f>
        <v>168.3</v>
      </c>
      <c r="S8" s="22">
        <f>S14*B8</f>
        <v>160.6275</v>
      </c>
      <c r="T8" s="23">
        <f>SUM(L8:S8)</f>
        <v>7277.094000000001</v>
      </c>
      <c r="U8" s="22">
        <f>U14*B8</f>
        <v>28.71</v>
      </c>
      <c r="V8" s="32">
        <f>V14*B8</f>
        <v>1175.625</v>
      </c>
      <c r="W8" s="30">
        <f>W14*B8</f>
        <v>0</v>
      </c>
      <c r="X8" s="28">
        <f>SUM(U8:W8)</f>
        <v>1204.335</v>
      </c>
      <c r="Y8" s="29">
        <f>K8+T8+X8</f>
        <v>12482.894</v>
      </c>
    </row>
    <row r="9" spans="1:25" ht="51.75" thickBot="1">
      <c r="A9" s="11" t="s">
        <v>13</v>
      </c>
      <c r="B9" s="57">
        <v>0.505</v>
      </c>
      <c r="C9" s="20">
        <v>53</v>
      </c>
      <c r="D9" s="32">
        <v>6800</v>
      </c>
      <c r="E9" s="32"/>
      <c r="F9" s="32">
        <v>41.7</v>
      </c>
      <c r="G9" s="22"/>
      <c r="H9" s="22">
        <f>H14*B9</f>
        <v>190.38499999999999</v>
      </c>
      <c r="I9" s="22">
        <f>I14*B9</f>
        <v>15.15</v>
      </c>
      <c r="J9" s="22"/>
      <c r="K9" s="23">
        <f>SUM(D9:J9)</f>
        <v>7047.2349999999997</v>
      </c>
      <c r="L9" s="22">
        <f>L14*B9</f>
        <v>5342.5464999999995</v>
      </c>
      <c r="M9" s="22">
        <f>M14*B9</f>
        <v>6.5650000000000004</v>
      </c>
      <c r="N9" s="22">
        <f>N14*B9</f>
        <v>263.61</v>
      </c>
      <c r="O9" s="43">
        <f>O14*B9</f>
        <v>1199.375</v>
      </c>
      <c r="P9" s="22">
        <f>P14*B9</f>
        <v>31.259499999999999</v>
      </c>
      <c r="Q9" s="22">
        <f>Q14*B9</f>
        <v>245.17750000000001</v>
      </c>
      <c r="R9" s="22">
        <f>R14*B9</f>
        <v>171.7</v>
      </c>
      <c r="S9" s="22">
        <f>S14*B9</f>
        <v>163.8725</v>
      </c>
      <c r="T9" s="23">
        <f>SUM(L9:S9)</f>
        <v>7424.1059999999989</v>
      </c>
      <c r="U9" s="22">
        <f>U14*B9</f>
        <v>29.29</v>
      </c>
      <c r="V9" s="32">
        <f>V14*B9</f>
        <v>1199.375</v>
      </c>
      <c r="W9" s="30">
        <f>W14*B9</f>
        <v>0</v>
      </c>
      <c r="X9" s="28">
        <f>SUM(U9:W9)</f>
        <v>1228.665</v>
      </c>
      <c r="Y9" s="29">
        <f>K9+T9+X9</f>
        <v>15700.005999999998</v>
      </c>
    </row>
    <row r="10" spans="1:25" ht="39" thickBot="1">
      <c r="A10" s="12" t="s">
        <v>35</v>
      </c>
      <c r="B10" s="19"/>
      <c r="C10" s="20">
        <v>60</v>
      </c>
      <c r="D10" s="32"/>
      <c r="E10" s="32"/>
      <c r="F10" s="32"/>
      <c r="G10" s="22">
        <v>196.8</v>
      </c>
      <c r="H10" s="32">
        <v>54.5</v>
      </c>
      <c r="I10" s="22"/>
      <c r="J10" s="22"/>
      <c r="K10" s="23">
        <f>SUM(D10:J10)</f>
        <v>251.3</v>
      </c>
      <c r="L10" s="22"/>
      <c r="M10" s="22"/>
      <c r="N10" s="22"/>
      <c r="O10" s="32"/>
      <c r="P10" s="22"/>
      <c r="Q10" s="22"/>
      <c r="R10" s="22"/>
      <c r="S10" s="22"/>
      <c r="T10" s="23">
        <f>SUM(L10:S10)</f>
        <v>0</v>
      </c>
      <c r="U10" s="22"/>
      <c r="V10" s="32"/>
      <c r="W10" s="30"/>
      <c r="X10" s="28">
        <f>SUM(U10:W10)</f>
        <v>0</v>
      </c>
      <c r="Y10" s="29">
        <f>K10+T10+X10</f>
        <v>251.3</v>
      </c>
    </row>
    <row r="11" spans="1:25" ht="34.5" customHeight="1" thickBot="1">
      <c r="A11" s="12" t="s">
        <v>37</v>
      </c>
      <c r="B11" s="44"/>
      <c r="C11" s="20">
        <v>105</v>
      </c>
      <c r="D11" s="34"/>
      <c r="E11" s="34"/>
      <c r="F11" s="34"/>
      <c r="G11" s="22">
        <v>1036.5</v>
      </c>
      <c r="H11" s="34"/>
      <c r="I11" s="22"/>
      <c r="J11" s="22"/>
      <c r="K11" s="23">
        <f>SUM(D11:J11)</f>
        <v>1036.5</v>
      </c>
      <c r="L11" s="22"/>
      <c r="M11" s="22"/>
      <c r="N11" s="22"/>
      <c r="O11" s="34"/>
      <c r="P11" s="22"/>
      <c r="Q11" s="22"/>
      <c r="R11" s="22"/>
      <c r="S11" s="22"/>
      <c r="T11" s="23"/>
      <c r="U11" s="22"/>
      <c r="V11" s="34"/>
      <c r="W11" s="30"/>
      <c r="X11" s="28">
        <f>SUM(U11:W11)</f>
        <v>0</v>
      </c>
      <c r="Y11" s="29">
        <f>K11+T11+X11</f>
        <v>1036.5</v>
      </c>
    </row>
    <row r="12" spans="1:25" s="13" customFormat="1" ht="15.75" thickBot="1">
      <c r="A12" s="45" t="s">
        <v>22</v>
      </c>
      <c r="B12" s="25">
        <f>B8+B9+B10</f>
        <v>1</v>
      </c>
      <c r="C12" s="20">
        <v>111</v>
      </c>
      <c r="D12" s="24">
        <f>D8+D9</f>
        <v>10600</v>
      </c>
      <c r="E12" s="24">
        <f t="shared" ref="E12:X12" si="0">SUM(E8:E10)</f>
        <v>0</v>
      </c>
      <c r="F12" s="24">
        <v>31.1</v>
      </c>
      <c r="G12" s="23">
        <f>SUM(G8:G11)</f>
        <v>1233.3</v>
      </c>
      <c r="H12" s="23">
        <f>SUM(H8:H10)</f>
        <v>431.5</v>
      </c>
      <c r="I12" s="24">
        <f t="shared" si="0"/>
        <v>30</v>
      </c>
      <c r="J12" s="24">
        <f t="shared" si="0"/>
        <v>0</v>
      </c>
      <c r="K12" s="23">
        <f>SUM(K8:K11)</f>
        <v>12336.499999999998</v>
      </c>
      <c r="L12" s="23">
        <f>SUM(L8:L10)</f>
        <v>10579.3</v>
      </c>
      <c r="M12" s="24">
        <f t="shared" si="0"/>
        <v>13</v>
      </c>
      <c r="N12" s="24">
        <f t="shared" si="0"/>
        <v>522</v>
      </c>
      <c r="O12" s="24">
        <f t="shared" si="0"/>
        <v>2375</v>
      </c>
      <c r="P12" s="24">
        <f t="shared" si="0"/>
        <v>61.9</v>
      </c>
      <c r="Q12" s="24">
        <f t="shared" si="0"/>
        <v>485.5</v>
      </c>
      <c r="R12" s="24">
        <f t="shared" si="0"/>
        <v>340</v>
      </c>
      <c r="S12" s="24">
        <f t="shared" si="0"/>
        <v>324.5</v>
      </c>
      <c r="T12" s="23">
        <f t="shared" si="0"/>
        <v>14701.2</v>
      </c>
      <c r="U12" s="24">
        <f t="shared" si="0"/>
        <v>58</v>
      </c>
      <c r="V12" s="24">
        <f t="shared" si="0"/>
        <v>2375</v>
      </c>
      <c r="W12" s="24">
        <f t="shared" si="0"/>
        <v>0</v>
      </c>
      <c r="X12" s="28">
        <f t="shared" si="0"/>
        <v>2433</v>
      </c>
      <c r="Y12" s="46">
        <f>SUM(Y8:Y11)</f>
        <v>29470.699999999997</v>
      </c>
    </row>
    <row r="13" spans="1: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>
      <c r="A14" s="26"/>
      <c r="B14" s="26"/>
      <c r="C14" s="26">
        <f>C8+C9</f>
        <v>105</v>
      </c>
      <c r="D14" s="26"/>
      <c r="E14" s="26"/>
      <c r="F14" s="26">
        <v>24.3</v>
      </c>
      <c r="G14" s="26">
        <v>783.1</v>
      </c>
      <c r="H14" s="26">
        <v>377</v>
      </c>
      <c r="I14" s="26">
        <v>30</v>
      </c>
      <c r="J14" s="26"/>
      <c r="K14" s="26"/>
      <c r="L14" s="26">
        <v>10579.3</v>
      </c>
      <c r="M14" s="26">
        <v>13</v>
      </c>
      <c r="N14" s="31">
        <v>522</v>
      </c>
      <c r="O14" s="31">
        <v>2375</v>
      </c>
      <c r="P14" s="31">
        <v>61.9</v>
      </c>
      <c r="Q14" s="31">
        <v>485.5</v>
      </c>
      <c r="R14" s="31">
        <v>340</v>
      </c>
      <c r="S14" s="26">
        <v>324.5</v>
      </c>
      <c r="T14" s="26"/>
      <c r="U14" s="31">
        <v>58</v>
      </c>
      <c r="V14" s="31">
        <v>2375</v>
      </c>
      <c r="W14" s="26">
        <v>0</v>
      </c>
      <c r="X14" s="26"/>
      <c r="Y14" s="27"/>
    </row>
    <row r="16" spans="1:25">
      <c r="Y16" s="13">
        <v>29470.7</v>
      </c>
    </row>
    <row r="17" spans="3:25">
      <c r="D17" s="42">
        <f>D12+L12</f>
        <v>21179.3</v>
      </c>
      <c r="G17" s="42"/>
      <c r="N17">
        <f>N12+O12+P12+U12+V12</f>
        <v>5391.9</v>
      </c>
      <c r="Y17" s="13">
        <f>Y16-Y12</f>
        <v>0</v>
      </c>
    </row>
    <row r="22" spans="3:25">
      <c r="C22" s="33"/>
    </row>
    <row r="25" spans="3:25">
      <c r="H25" s="13"/>
    </row>
    <row r="28" spans="3:25">
      <c r="N28" s="13"/>
    </row>
  </sheetData>
  <mergeCells count="11">
    <mergeCell ref="A2:XFD2"/>
    <mergeCell ref="A1:Y1"/>
    <mergeCell ref="A3:Y3"/>
    <mergeCell ref="A4:Y4"/>
    <mergeCell ref="A6:A7"/>
    <mergeCell ref="B6:B7"/>
    <mergeCell ref="C6:C7"/>
    <mergeCell ref="D6:K6"/>
    <mergeCell ref="L6:T6"/>
    <mergeCell ref="U6:X6"/>
    <mergeCell ref="Y6:Y7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8"/>
  <sheetViews>
    <sheetView topLeftCell="A8" zoomScaleNormal="100" workbookViewId="0">
      <selection activeCell="K28" sqref="K28"/>
    </sheetView>
  </sheetViews>
  <sheetFormatPr defaultRowHeight="15"/>
  <cols>
    <col min="1" max="1" width="21.140625" customWidth="1"/>
    <col min="2" max="2" width="7.28515625" customWidth="1"/>
    <col min="3" max="3" width="7.85546875" customWidth="1"/>
    <col min="4" max="4" width="11.5703125" customWidth="1"/>
    <col min="5" max="5" width="10.42578125" customWidth="1"/>
    <col min="6" max="6" width="9.7109375" customWidth="1"/>
    <col min="7" max="7" width="10.140625" customWidth="1"/>
    <col min="8" max="8" width="14.85546875" customWidth="1"/>
    <col min="9" max="9" width="9.7109375" customWidth="1"/>
    <col min="10" max="10" width="0.28515625" customWidth="1"/>
    <col min="11" max="11" width="9.7109375" customWidth="1"/>
    <col min="12" max="12" width="11.5703125" customWidth="1"/>
    <col min="17" max="17" width="12.85546875" customWidth="1"/>
    <col min="21" max="21" width="11.28515625" customWidth="1"/>
    <col min="22" max="24" width="8.5703125" customWidth="1"/>
    <col min="25" max="25" width="9.140625" style="13"/>
  </cols>
  <sheetData>
    <row r="1" spans="1:25" ht="18.75">
      <c r="A1" s="117" t="s">
        <v>57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ht="18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8.75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8.75">
      <c r="A4" s="102" t="s">
        <v>59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5" ht="15.75" thickBot="1"/>
    <row r="6" spans="1:25" ht="36.75" customHeight="1" thickBot="1">
      <c r="A6" s="118" t="s">
        <v>30</v>
      </c>
      <c r="B6" s="120" t="s">
        <v>25</v>
      </c>
      <c r="C6" s="120" t="s">
        <v>21</v>
      </c>
      <c r="D6" s="108" t="s">
        <v>29</v>
      </c>
      <c r="E6" s="109"/>
      <c r="F6" s="109"/>
      <c r="G6" s="109"/>
      <c r="H6" s="109"/>
      <c r="I6" s="109"/>
      <c r="J6" s="109"/>
      <c r="K6" s="122"/>
      <c r="L6" s="112" t="s">
        <v>5</v>
      </c>
      <c r="M6" s="109"/>
      <c r="N6" s="109"/>
      <c r="O6" s="109"/>
      <c r="P6" s="109"/>
      <c r="Q6" s="109"/>
      <c r="R6" s="109"/>
      <c r="S6" s="109"/>
      <c r="T6" s="122"/>
      <c r="U6" s="113" t="s">
        <v>11</v>
      </c>
      <c r="V6" s="123"/>
      <c r="W6" s="123"/>
      <c r="X6" s="124"/>
      <c r="Y6" s="125" t="s">
        <v>39</v>
      </c>
    </row>
    <row r="7" spans="1:25" ht="77.25" customHeight="1">
      <c r="A7" s="119"/>
      <c r="B7" s="121"/>
      <c r="C7" s="121"/>
      <c r="D7" s="14" t="s">
        <v>24</v>
      </c>
      <c r="E7" s="15"/>
      <c r="F7" s="15" t="s">
        <v>32</v>
      </c>
      <c r="G7" s="15" t="s">
        <v>19</v>
      </c>
      <c r="H7" s="15" t="s">
        <v>14</v>
      </c>
      <c r="I7" s="15" t="s">
        <v>15</v>
      </c>
      <c r="J7" s="15"/>
      <c r="K7" s="15" t="s">
        <v>22</v>
      </c>
      <c r="L7" s="15" t="s">
        <v>23</v>
      </c>
      <c r="M7" s="15" t="s">
        <v>16</v>
      </c>
      <c r="N7" s="15" t="s">
        <v>26</v>
      </c>
      <c r="O7" s="15" t="s">
        <v>34</v>
      </c>
      <c r="P7" s="15" t="s">
        <v>28</v>
      </c>
      <c r="Q7" s="15" t="s">
        <v>17</v>
      </c>
      <c r="R7" s="15" t="s">
        <v>18</v>
      </c>
      <c r="S7" s="15" t="s">
        <v>20</v>
      </c>
      <c r="T7" s="16" t="s">
        <v>22</v>
      </c>
      <c r="U7" s="15" t="s">
        <v>27</v>
      </c>
      <c r="V7" s="15" t="s">
        <v>34</v>
      </c>
      <c r="W7" s="17" t="s">
        <v>33</v>
      </c>
      <c r="X7" s="18" t="s">
        <v>22</v>
      </c>
      <c r="Y7" s="126"/>
    </row>
    <row r="8" spans="1:25" ht="39" thickBot="1">
      <c r="A8" s="10" t="s">
        <v>12</v>
      </c>
      <c r="B8" s="57">
        <v>0.48099999999999998</v>
      </c>
      <c r="C8" s="20">
        <v>52</v>
      </c>
      <c r="D8" s="70">
        <v>3950</v>
      </c>
      <c r="E8" s="70"/>
      <c r="F8" s="70"/>
      <c r="G8" s="22"/>
      <c r="H8" s="22">
        <f>H14*B8</f>
        <v>193.84299999999999</v>
      </c>
      <c r="I8" s="22">
        <f>I14*B8</f>
        <v>15.391999999999999</v>
      </c>
      <c r="J8" s="22"/>
      <c r="K8" s="23">
        <f>SUM(D8:J8)</f>
        <v>4159.2349999999997</v>
      </c>
      <c r="L8" s="22">
        <f>L14*B8</f>
        <v>5417.6472999999996</v>
      </c>
      <c r="M8" s="22">
        <f>M14*B8</f>
        <v>6.2530000000000001</v>
      </c>
      <c r="N8" s="22">
        <f>N14*B8</f>
        <v>251.08199999999999</v>
      </c>
      <c r="O8" s="70">
        <f>O14*B8</f>
        <v>1142.375</v>
      </c>
      <c r="P8" s="22">
        <f>P14*B8</f>
        <v>29.773899999999998</v>
      </c>
      <c r="Q8" s="22">
        <f>Q14*B8</f>
        <v>233.47739999999999</v>
      </c>
      <c r="R8" s="22">
        <f>R14*B8</f>
        <v>163.54</v>
      </c>
      <c r="S8" s="22">
        <f>S14*B8</f>
        <v>156.08449999999999</v>
      </c>
      <c r="T8" s="23">
        <f>SUM(L8:S8)</f>
        <v>7400.2330999999995</v>
      </c>
      <c r="U8" s="22">
        <f>U14*B8</f>
        <v>27.898</v>
      </c>
      <c r="V8" s="70">
        <f>V14*B8</f>
        <v>1142.375</v>
      </c>
      <c r="W8" s="30">
        <f>W14*B8</f>
        <v>0</v>
      </c>
      <c r="X8" s="28">
        <f>SUM(U8:W8)</f>
        <v>1170.2729999999999</v>
      </c>
      <c r="Y8" s="29">
        <f>K8+T8+X8</f>
        <v>12729.741099999997</v>
      </c>
    </row>
    <row r="9" spans="1:25" ht="51.75" thickBot="1">
      <c r="A9" s="11" t="s">
        <v>13</v>
      </c>
      <c r="B9" s="57">
        <v>0.51900000000000002</v>
      </c>
      <c r="C9" s="20">
        <v>56</v>
      </c>
      <c r="D9" s="70">
        <v>6900</v>
      </c>
      <c r="E9" s="70"/>
      <c r="F9" s="70">
        <v>41.7</v>
      </c>
      <c r="G9" s="22"/>
      <c r="H9" s="22">
        <f>H14*B9</f>
        <v>209.15700000000001</v>
      </c>
      <c r="I9" s="22">
        <f>I14*B9</f>
        <v>16.608000000000001</v>
      </c>
      <c r="J9" s="22"/>
      <c r="K9" s="23">
        <f>SUM(D9:J9)</f>
        <v>7167.4650000000001</v>
      </c>
      <c r="L9" s="22">
        <f>L14*B9</f>
        <v>5845.6526999999996</v>
      </c>
      <c r="M9" s="22">
        <f>M14*B9</f>
        <v>6.7469999999999999</v>
      </c>
      <c r="N9" s="22">
        <f>N14*B9</f>
        <v>270.91800000000001</v>
      </c>
      <c r="O9" s="70">
        <f>O14*B9</f>
        <v>1232.625</v>
      </c>
      <c r="P9" s="22">
        <f>P14*B9</f>
        <v>32.126100000000001</v>
      </c>
      <c r="Q9" s="22">
        <f>Q14*B9</f>
        <v>251.92259999999999</v>
      </c>
      <c r="R9" s="22">
        <f>R14*B9</f>
        <v>176.46</v>
      </c>
      <c r="S9" s="22">
        <f>S14*B9</f>
        <v>168.41550000000001</v>
      </c>
      <c r="T9" s="23">
        <f>SUM(L9:S9)</f>
        <v>7984.8669</v>
      </c>
      <c r="U9" s="22">
        <f>U14*B9</f>
        <v>30.102</v>
      </c>
      <c r="V9" s="70">
        <f>V14*B9</f>
        <v>1232.625</v>
      </c>
      <c r="W9" s="30">
        <f>W14*B9</f>
        <v>0</v>
      </c>
      <c r="X9" s="28">
        <f>SUM(U9:W9)</f>
        <v>1262.7270000000001</v>
      </c>
      <c r="Y9" s="29">
        <f>K9+T9+X9</f>
        <v>16415.0589</v>
      </c>
    </row>
    <row r="10" spans="1:25" ht="39" thickBot="1">
      <c r="A10" s="12" t="s">
        <v>35</v>
      </c>
      <c r="B10" s="19"/>
      <c r="C10" s="20">
        <v>60</v>
      </c>
      <c r="D10" s="70"/>
      <c r="E10" s="70"/>
      <c r="F10" s="70"/>
      <c r="G10" s="22">
        <v>196.8</v>
      </c>
      <c r="H10" s="70">
        <v>55.8</v>
      </c>
      <c r="I10" s="22"/>
      <c r="J10" s="22"/>
      <c r="K10" s="23">
        <f>SUM(D10:J10)</f>
        <v>252.60000000000002</v>
      </c>
      <c r="L10" s="22">
        <v>0</v>
      </c>
      <c r="M10" s="22"/>
      <c r="N10" s="22"/>
      <c r="O10" s="70"/>
      <c r="P10" s="22"/>
      <c r="Q10" s="22"/>
      <c r="R10" s="22"/>
      <c r="S10" s="22"/>
      <c r="T10" s="23">
        <f>SUM(L10:S10)</f>
        <v>0</v>
      </c>
      <c r="U10" s="22"/>
      <c r="V10" s="70"/>
      <c r="W10" s="30"/>
      <c r="X10" s="28">
        <f>SUM(U10:W10)</f>
        <v>0</v>
      </c>
      <c r="Y10" s="29">
        <f>K10+T10+X10</f>
        <v>252.60000000000002</v>
      </c>
    </row>
    <row r="11" spans="1:25" ht="30" customHeight="1" thickBot="1">
      <c r="A11" s="12" t="s">
        <v>37</v>
      </c>
      <c r="B11" s="19"/>
      <c r="C11" s="20">
        <v>108</v>
      </c>
      <c r="D11" s="70"/>
      <c r="E11" s="70"/>
      <c r="F11" s="70"/>
      <c r="G11" s="22">
        <v>1128.5</v>
      </c>
      <c r="H11" s="70"/>
      <c r="I11" s="22"/>
      <c r="J11" s="22"/>
      <c r="K11" s="23">
        <f>SUM(D11:J11)</f>
        <v>1128.5</v>
      </c>
      <c r="L11" s="22"/>
      <c r="M11" s="22"/>
      <c r="N11" s="22"/>
      <c r="O11" s="70"/>
      <c r="P11" s="22"/>
      <c r="Q11" s="22"/>
      <c r="R11" s="22"/>
      <c r="S11" s="22"/>
      <c r="T11" s="23"/>
      <c r="U11" s="22"/>
      <c r="V11" s="70"/>
      <c r="W11" s="30"/>
      <c r="X11" s="28">
        <f>SUM(U11:W11)</f>
        <v>0</v>
      </c>
      <c r="Y11" s="29">
        <f>K11+T11+X11</f>
        <v>1128.5</v>
      </c>
    </row>
    <row r="12" spans="1:25" s="13" customFormat="1" ht="15.75" thickBot="1">
      <c r="A12" s="24" t="s">
        <v>22</v>
      </c>
      <c r="B12" s="25">
        <f>B8+B9+B10</f>
        <v>1</v>
      </c>
      <c r="C12" s="20">
        <v>114</v>
      </c>
      <c r="D12" s="24">
        <f>SUM(D8:D10)</f>
        <v>10850</v>
      </c>
      <c r="E12" s="24">
        <f t="shared" ref="E12:X12" si="0">SUM(E8:E10)</f>
        <v>0</v>
      </c>
      <c r="F12" s="24">
        <f>SUM(F8:F10)</f>
        <v>41.7</v>
      </c>
      <c r="G12" s="23">
        <f>SUM(G8:G11)</f>
        <v>1325.3</v>
      </c>
      <c r="H12" s="24">
        <f>SUM(H8:H10)</f>
        <v>458.8</v>
      </c>
      <c r="I12" s="24">
        <f t="shared" si="0"/>
        <v>32</v>
      </c>
      <c r="J12" s="24">
        <f t="shared" si="0"/>
        <v>0</v>
      </c>
      <c r="K12" s="23">
        <f>SUM(K8:K11)</f>
        <v>12707.800000000001</v>
      </c>
      <c r="L12" s="23">
        <f>L8+L9+L10</f>
        <v>11263.3</v>
      </c>
      <c r="M12" s="24">
        <f t="shared" si="0"/>
        <v>13</v>
      </c>
      <c r="N12" s="24">
        <f t="shared" si="0"/>
        <v>522</v>
      </c>
      <c r="O12" s="24">
        <f t="shared" si="0"/>
        <v>2375</v>
      </c>
      <c r="P12" s="24">
        <f t="shared" si="0"/>
        <v>61.9</v>
      </c>
      <c r="Q12" s="24">
        <f t="shared" si="0"/>
        <v>485.4</v>
      </c>
      <c r="R12" s="24">
        <f t="shared" si="0"/>
        <v>340</v>
      </c>
      <c r="S12" s="24">
        <f t="shared" si="0"/>
        <v>324.5</v>
      </c>
      <c r="T12" s="23">
        <f t="shared" si="0"/>
        <v>15385.099999999999</v>
      </c>
      <c r="U12" s="24">
        <f t="shared" si="0"/>
        <v>58</v>
      </c>
      <c r="V12" s="24">
        <f t="shared" si="0"/>
        <v>2375</v>
      </c>
      <c r="W12" s="24">
        <f t="shared" si="0"/>
        <v>0</v>
      </c>
      <c r="X12" s="28">
        <f t="shared" si="0"/>
        <v>2433</v>
      </c>
      <c r="Y12" s="46">
        <f>SUM(Y8:Y11)</f>
        <v>30525.899999999994</v>
      </c>
    </row>
    <row r="13" spans="1: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5">
      <c r="A14" s="26"/>
      <c r="B14" s="26"/>
      <c r="C14" s="26">
        <f>C8+C9</f>
        <v>108</v>
      </c>
      <c r="D14" s="26"/>
      <c r="E14" s="26"/>
      <c r="F14" s="26"/>
      <c r="G14" s="26">
        <v>764.8</v>
      </c>
      <c r="H14" s="26">
        <v>403</v>
      </c>
      <c r="I14" s="26">
        <v>32</v>
      </c>
      <c r="J14" s="26"/>
      <c r="K14" s="26"/>
      <c r="L14" s="26">
        <v>11263.3</v>
      </c>
      <c r="M14" s="26">
        <v>13</v>
      </c>
      <c r="N14" s="31">
        <v>522</v>
      </c>
      <c r="O14" s="31">
        <v>2375</v>
      </c>
      <c r="P14" s="31">
        <v>61.9</v>
      </c>
      <c r="Q14" s="31">
        <v>485.4</v>
      </c>
      <c r="R14" s="31">
        <v>340</v>
      </c>
      <c r="S14" s="26">
        <v>324.5</v>
      </c>
      <c r="T14" s="26"/>
      <c r="U14" s="31">
        <v>58</v>
      </c>
      <c r="V14" s="31">
        <v>2375</v>
      </c>
      <c r="W14" s="26">
        <v>0</v>
      </c>
      <c r="X14" s="26"/>
      <c r="Y14" s="27"/>
    </row>
    <row r="16" spans="1:25">
      <c r="D16" s="42">
        <f>D12+L12</f>
        <v>22113.3</v>
      </c>
      <c r="Y16" s="13">
        <v>30525.9</v>
      </c>
    </row>
    <row r="17" spans="3:25">
      <c r="L17">
        <f>N14+O14+P14+U14+V14</f>
        <v>5391.9</v>
      </c>
      <c r="Q17" t="s">
        <v>31</v>
      </c>
      <c r="Y17" s="13">
        <f>Y16-Y12</f>
        <v>0</v>
      </c>
    </row>
    <row r="22" spans="3:25">
      <c r="C22" s="33"/>
    </row>
    <row r="25" spans="3:25">
      <c r="H25" s="13"/>
    </row>
    <row r="28" spans="3:25">
      <c r="N28" s="13"/>
    </row>
  </sheetData>
  <mergeCells count="11">
    <mergeCell ref="A2:Y2"/>
    <mergeCell ref="A1:Y1"/>
    <mergeCell ref="A4:Y4"/>
    <mergeCell ref="A6:A7"/>
    <mergeCell ref="B6:B7"/>
    <mergeCell ref="C6:C7"/>
    <mergeCell ref="D6:K6"/>
    <mergeCell ref="L6:T6"/>
    <mergeCell ref="U6:X6"/>
    <mergeCell ref="Y6:Y7"/>
    <mergeCell ref="A3:Y3"/>
  </mergeCells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Мугай Расчет объ.2020</vt:lpstr>
      <vt:lpstr>расчет 2021</vt:lpstr>
      <vt:lpstr>расчет 2022</vt:lpstr>
      <vt:lpstr>2020</vt:lpstr>
      <vt:lpstr>2021</vt:lpstr>
      <vt:lpstr>2022</vt:lpstr>
      <vt:lpstr>'2020'!Область_печати</vt:lpstr>
      <vt:lpstr>'2021'!Область_печати</vt:lpstr>
      <vt:lpstr>'2022'!Область_печати</vt:lpstr>
      <vt:lpstr>'Мугай Расчет объ.2020'!Область_печати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2020-08-25T04:01:01Z</dcterms:modified>
</cp:coreProperties>
</file>