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I182" i="2"/>
  <c r="H182"/>
  <c r="G182"/>
  <c r="G206"/>
  <c r="G209"/>
  <c r="H203"/>
  <c r="H202" s="1"/>
  <c r="G203"/>
  <c r="G202" s="1"/>
  <c r="I202"/>
  <c r="G460"/>
  <c r="G195"/>
  <c r="G194" s="1"/>
  <c r="I194"/>
  <c r="H194"/>
  <c r="I190"/>
  <c r="H190"/>
  <c r="G190"/>
  <c r="G205"/>
  <c r="H189"/>
  <c r="I188"/>
  <c r="H188"/>
  <c r="G188"/>
  <c r="H187"/>
  <c r="I186"/>
  <c r="H186"/>
  <c r="G186"/>
  <c r="G184"/>
  <c r="G183" s="1"/>
  <c r="I183"/>
  <c r="H183"/>
  <c r="G383"/>
  <c r="G384"/>
  <c r="G50"/>
  <c r="G42"/>
  <c r="G15"/>
  <c r="G28"/>
  <c r="G21"/>
  <c r="G33"/>
  <c r="G170"/>
  <c r="G26"/>
  <c r="G57"/>
  <c r="G55"/>
  <c r="G54"/>
  <c r="G53"/>
  <c r="G173"/>
  <c r="G175"/>
  <c r="G214"/>
  <c r="G38"/>
  <c r="G37"/>
  <c r="G197"/>
  <c r="G331"/>
  <c r="G330"/>
  <c r="G181"/>
  <c r="G177"/>
  <c r="G149"/>
  <c r="G145"/>
  <c r="G27"/>
  <c r="G100"/>
  <c r="G172"/>
  <c r="G248"/>
  <c r="G240"/>
  <c r="G75"/>
  <c r="G408"/>
  <c r="G272"/>
  <c r="G31"/>
  <c r="G109"/>
  <c r="G133"/>
  <c r="H341"/>
  <c r="G25" l="1"/>
  <c r="H339"/>
  <c r="H336" s="1"/>
  <c r="G319"/>
  <c r="G318" s="1"/>
  <c r="G77"/>
  <c r="G76" s="1"/>
  <c r="G226"/>
  <c r="G344"/>
  <c r="G409"/>
  <c r="G406" s="1"/>
  <c r="G41" l="1"/>
  <c r="G40"/>
  <c r="G445"/>
  <c r="G439"/>
  <c r="G457"/>
  <c r="G425"/>
  <c r="G419"/>
  <c r="G359"/>
  <c r="G96"/>
  <c r="G58"/>
  <c r="G30"/>
  <c r="G18"/>
  <c r="G14" s="1"/>
  <c r="G39" l="1"/>
  <c r="G36" s="1"/>
  <c r="G24" s="1"/>
  <c r="G229"/>
  <c r="G228" s="1"/>
  <c r="G227" s="1"/>
  <c r="G123"/>
  <c r="G124"/>
  <c r="G95"/>
  <c r="G236"/>
  <c r="G220"/>
  <c r="G218"/>
  <c r="G127"/>
  <c r="G380"/>
  <c r="G293"/>
  <c r="G159"/>
  <c r="G263"/>
  <c r="G374"/>
  <c r="G373"/>
  <c r="G259"/>
  <c r="G243"/>
  <c r="G222"/>
  <c r="G324"/>
  <c r="G323" s="1"/>
  <c r="G107" l="1"/>
  <c r="I107"/>
  <c r="H107"/>
  <c r="I154"/>
  <c r="H154"/>
  <c r="G154"/>
  <c r="I169" l="1"/>
  <c r="H169"/>
  <c r="G169"/>
  <c r="G346"/>
  <c r="G345"/>
  <c r="G147"/>
  <c r="G290"/>
  <c r="G161"/>
  <c r="G179"/>
  <c r="G232"/>
  <c r="G171" l="1"/>
  <c r="G455"/>
  <c r="G454"/>
  <c r="G450"/>
  <c r="I141"/>
  <c r="I138"/>
  <c r="H138"/>
  <c r="G138"/>
  <c r="G168" l="1"/>
  <c r="G104"/>
  <c r="G294"/>
  <c r="G255"/>
  <c r="G292" l="1"/>
  <c r="G85"/>
  <c r="G268"/>
  <c r="I225"/>
  <c r="H225"/>
  <c r="G225"/>
  <c r="G343"/>
  <c r="I204"/>
  <c r="H204"/>
  <c r="H56"/>
  <c r="H55"/>
  <c r="H54"/>
  <c r="H53"/>
  <c r="G349" l="1"/>
  <c r="G351"/>
  <c r="G350" s="1"/>
  <c r="G386"/>
  <c r="G339"/>
  <c r="G340"/>
  <c r="G233"/>
  <c r="G253"/>
  <c r="G254"/>
  <c r="G391"/>
  <c r="G288"/>
  <c r="G287"/>
  <c r="G298"/>
  <c r="G300"/>
  <c r="G56"/>
  <c r="G52" s="1"/>
  <c r="G92"/>
  <c r="I350"/>
  <c r="H350"/>
  <c r="G355"/>
  <c r="G237"/>
  <c r="G119"/>
  <c r="G216"/>
  <c r="G224"/>
  <c r="G223" s="1"/>
  <c r="G106"/>
  <c r="I254"/>
  <c r="H254"/>
  <c r="G327" l="1"/>
  <c r="G276"/>
  <c r="G274"/>
  <c r="G353"/>
  <c r="G163"/>
  <c r="G199" l="1"/>
  <c r="G204"/>
  <c r="I91"/>
  <c r="I88"/>
  <c r="I86"/>
  <c r="H86"/>
  <c r="H88"/>
  <c r="G88"/>
  <c r="G86"/>
  <c r="G84"/>
  <c r="G83" l="1"/>
  <c r="G250"/>
  <c r="G252"/>
  <c r="H406" l="1"/>
  <c r="I264" l="1"/>
  <c r="H264"/>
  <c r="I256"/>
  <c r="H256"/>
  <c r="I160"/>
  <c r="H160"/>
  <c r="I474" l="1"/>
  <c r="H474"/>
  <c r="G474"/>
  <c r="I463"/>
  <c r="H463"/>
  <c r="I453"/>
  <c r="H453"/>
  <c r="H452" s="1"/>
  <c r="H451" s="1"/>
  <c r="I452"/>
  <c r="I451" s="1"/>
  <c r="I448"/>
  <c r="H448"/>
  <c r="I442"/>
  <c r="H442"/>
  <c r="I436"/>
  <c r="H436"/>
  <c r="I432"/>
  <c r="I431" s="1"/>
  <c r="H432"/>
  <c r="H431" s="1"/>
  <c r="I429"/>
  <c r="I428" s="1"/>
  <c r="H429"/>
  <c r="H428" s="1"/>
  <c r="I422"/>
  <c r="H422"/>
  <c r="I416"/>
  <c r="I415" s="1"/>
  <c r="I414" s="1"/>
  <c r="H416"/>
  <c r="H415" s="1"/>
  <c r="H414" s="1"/>
  <c r="I412"/>
  <c r="I411" s="1"/>
  <c r="H412"/>
  <c r="H411" s="1"/>
  <c r="I402"/>
  <c r="H402"/>
  <c r="I404"/>
  <c r="H404"/>
  <c r="I406"/>
  <c r="H401"/>
  <c r="I396"/>
  <c r="H396"/>
  <c r="I393"/>
  <c r="H393"/>
  <c r="I392"/>
  <c r="H392"/>
  <c r="I388"/>
  <c r="H388"/>
  <c r="I390"/>
  <c r="H390"/>
  <c r="H387" s="1"/>
  <c r="I387"/>
  <c r="I385"/>
  <c r="H385"/>
  <c r="I381"/>
  <c r="H381"/>
  <c r="I379"/>
  <c r="H379"/>
  <c r="I377"/>
  <c r="H377"/>
  <c r="I375"/>
  <c r="H375"/>
  <c r="I372"/>
  <c r="H372"/>
  <c r="I369"/>
  <c r="H369"/>
  <c r="I366"/>
  <c r="H366"/>
  <c r="H365" s="1"/>
  <c r="I363"/>
  <c r="H363"/>
  <c r="I362"/>
  <c r="H362"/>
  <c r="I356"/>
  <c r="H356"/>
  <c r="I354"/>
  <c r="H354"/>
  <c r="I352"/>
  <c r="H352"/>
  <c r="I348"/>
  <c r="H348"/>
  <c r="I342"/>
  <c r="H342"/>
  <c r="I336"/>
  <c r="I327"/>
  <c r="H327"/>
  <c r="I316"/>
  <c r="H316"/>
  <c r="I314"/>
  <c r="H314"/>
  <c r="I312"/>
  <c r="H312"/>
  <c r="I310"/>
  <c r="H310"/>
  <c r="I308"/>
  <c r="H308"/>
  <c r="I306"/>
  <c r="H306"/>
  <c r="I304"/>
  <c r="H304"/>
  <c r="I302"/>
  <c r="H302"/>
  <c r="I296"/>
  <c r="H296"/>
  <c r="I292"/>
  <c r="H292"/>
  <c r="I289"/>
  <c r="H289"/>
  <c r="I286"/>
  <c r="H286"/>
  <c r="I284"/>
  <c r="H284"/>
  <c r="I282"/>
  <c r="I281" s="1"/>
  <c r="H282"/>
  <c r="H281" s="1"/>
  <c r="I279"/>
  <c r="H279"/>
  <c r="I277"/>
  <c r="H277"/>
  <c r="I275"/>
  <c r="H275"/>
  <c r="I273"/>
  <c r="H273"/>
  <c r="I271"/>
  <c r="H271"/>
  <c r="H270" s="1"/>
  <c r="I267"/>
  <c r="I266" s="1"/>
  <c r="H267"/>
  <c r="H266" s="1"/>
  <c r="I262"/>
  <c r="H262"/>
  <c r="I260"/>
  <c r="H260"/>
  <c r="I258"/>
  <c r="H258"/>
  <c r="I250"/>
  <c r="H250"/>
  <c r="I247"/>
  <c r="I246" s="1"/>
  <c r="H247"/>
  <c r="H246" s="1"/>
  <c r="I244"/>
  <c r="H244"/>
  <c r="I242"/>
  <c r="H242"/>
  <c r="H239"/>
  <c r="I235"/>
  <c r="I234" s="1"/>
  <c r="H235"/>
  <c r="H234" s="1"/>
  <c r="I231"/>
  <c r="I230" s="1"/>
  <c r="H231"/>
  <c r="H230" s="1"/>
  <c r="I223"/>
  <c r="H223"/>
  <c r="I221"/>
  <c r="H221"/>
  <c r="I219"/>
  <c r="H219"/>
  <c r="I217"/>
  <c r="H217"/>
  <c r="I215"/>
  <c r="H215"/>
  <c r="I212"/>
  <c r="I211" s="1"/>
  <c r="H212"/>
  <c r="I200"/>
  <c r="H200"/>
  <c r="I196"/>
  <c r="H196"/>
  <c r="G196"/>
  <c r="I198"/>
  <c r="H198"/>
  <c r="I180"/>
  <c r="H180"/>
  <c r="I178"/>
  <c r="H178"/>
  <c r="I174"/>
  <c r="H174"/>
  <c r="I167"/>
  <c r="I166" s="1"/>
  <c r="H167"/>
  <c r="H166" s="1"/>
  <c r="I164"/>
  <c r="H164"/>
  <c r="I158"/>
  <c r="H158"/>
  <c r="I156"/>
  <c r="H156"/>
  <c r="I152"/>
  <c r="H152"/>
  <c r="I150"/>
  <c r="H150"/>
  <c r="I148"/>
  <c r="H148"/>
  <c r="I146"/>
  <c r="H146"/>
  <c r="I144"/>
  <c r="I143" s="1"/>
  <c r="H144"/>
  <c r="H143" s="1"/>
  <c r="I140"/>
  <c r="H141"/>
  <c r="H140" s="1"/>
  <c r="I134"/>
  <c r="H134"/>
  <c r="I132"/>
  <c r="H132"/>
  <c r="H130"/>
  <c r="I126"/>
  <c r="H126"/>
  <c r="I120"/>
  <c r="H120"/>
  <c r="I117"/>
  <c r="H117"/>
  <c r="I115"/>
  <c r="H115"/>
  <c r="I113"/>
  <c r="H113"/>
  <c r="I111"/>
  <c r="I110" s="1"/>
  <c r="H111"/>
  <c r="H110" s="1"/>
  <c r="I105"/>
  <c r="H105"/>
  <c r="I103"/>
  <c r="H103"/>
  <c r="I101"/>
  <c r="H101"/>
  <c r="I99"/>
  <c r="I90" s="1"/>
  <c r="H99"/>
  <c r="H91"/>
  <c r="I84"/>
  <c r="I83" s="1"/>
  <c r="H84"/>
  <c r="H83" s="1"/>
  <c r="I79"/>
  <c r="I78" s="1"/>
  <c r="H79"/>
  <c r="H78" s="1"/>
  <c r="I73"/>
  <c r="H73"/>
  <c r="I71"/>
  <c r="H71"/>
  <c r="I67"/>
  <c r="H67"/>
  <c r="I65"/>
  <c r="H65"/>
  <c r="I61"/>
  <c r="H61"/>
  <c r="I52"/>
  <c r="I51" s="1"/>
  <c r="H52"/>
  <c r="H51" s="1"/>
  <c r="I49"/>
  <c r="H49"/>
  <c r="I48"/>
  <c r="H48"/>
  <c r="I46"/>
  <c r="I45" s="1"/>
  <c r="H46"/>
  <c r="H45" s="1"/>
  <c r="I36"/>
  <c r="H36"/>
  <c r="I25"/>
  <c r="I24" s="1"/>
  <c r="H25"/>
  <c r="H24" s="1"/>
  <c r="I14"/>
  <c r="H14"/>
  <c r="I326" l="1"/>
  <c r="H90"/>
  <c r="I270"/>
  <c r="I401"/>
  <c r="H125"/>
  <c r="H238"/>
  <c r="H326"/>
  <c r="I365"/>
  <c r="H435"/>
  <c r="H434" s="1"/>
  <c r="I435"/>
  <c r="I434" s="1"/>
  <c r="H211"/>
  <c r="I125"/>
  <c r="G464"/>
  <c r="G463" s="1"/>
  <c r="G453"/>
  <c r="G452" s="1"/>
  <c r="G449"/>
  <c r="G448" s="1"/>
  <c r="G442"/>
  <c r="G436"/>
  <c r="G432"/>
  <c r="G431" s="1"/>
  <c r="G429"/>
  <c r="G422"/>
  <c r="G416"/>
  <c r="G412"/>
  <c r="G411" s="1"/>
  <c r="G404"/>
  <c r="G402"/>
  <c r="G396"/>
  <c r="G393"/>
  <c r="G415" l="1"/>
  <c r="G435"/>
  <c r="G434" s="1"/>
  <c r="G451"/>
  <c r="H13"/>
  <c r="H466" s="1"/>
  <c r="G392"/>
  <c r="G428"/>
  <c r="G401"/>
  <c r="G390"/>
  <c r="G414" l="1"/>
  <c r="G388"/>
  <c r="G387" s="1"/>
  <c r="G385"/>
  <c r="G381"/>
  <c r="G379"/>
  <c r="G377"/>
  <c r="G375"/>
  <c r="G372"/>
  <c r="G369"/>
  <c r="G366"/>
  <c r="G363"/>
  <c r="G362" s="1"/>
  <c r="G356"/>
  <c r="G354"/>
  <c r="G348"/>
  <c r="G336"/>
  <c r="G316"/>
  <c r="G312"/>
  <c r="G314"/>
  <c r="G310"/>
  <c r="G308"/>
  <c r="G306"/>
  <c r="G304"/>
  <c r="G302"/>
  <c r="G296"/>
  <c r="G289"/>
  <c r="G286"/>
  <c r="G282"/>
  <c r="G279"/>
  <c r="G277"/>
  <c r="G275"/>
  <c r="G273"/>
  <c r="G271"/>
  <c r="G267"/>
  <c r="G266" s="1"/>
  <c r="G264"/>
  <c r="G262"/>
  <c r="G260"/>
  <c r="G258"/>
  <c r="G256"/>
  <c r="G247"/>
  <c r="G244"/>
  <c r="G242"/>
  <c r="G239"/>
  <c r="G235"/>
  <c r="G234" s="1"/>
  <c r="G246" l="1"/>
  <c r="G238"/>
  <c r="G365"/>
  <c r="G270"/>
  <c r="G231"/>
  <c r="G230" s="1"/>
  <c r="G221"/>
  <c r="G219"/>
  <c r="G215"/>
  <c r="G200"/>
  <c r="G198"/>
  <c r="G180"/>
  <c r="G176"/>
  <c r="G174"/>
  <c r="G167"/>
  <c r="G164"/>
  <c r="G162"/>
  <c r="G160"/>
  <c r="G158"/>
  <c r="G156"/>
  <c r="G152"/>
  <c r="G150"/>
  <c r="G148"/>
  <c r="G146"/>
  <c r="G144"/>
  <c r="G134"/>
  <c r="G132"/>
  <c r="G141"/>
  <c r="G140" s="1"/>
  <c r="G128"/>
  <c r="G118"/>
  <c r="G117" s="1"/>
  <c r="G115"/>
  <c r="G113"/>
  <c r="G91"/>
  <c r="G101"/>
  <c r="G79"/>
  <c r="G78" s="1"/>
  <c r="G73"/>
  <c r="G71"/>
  <c r="G67"/>
  <c r="G65"/>
  <c r="G61"/>
  <c r="G49"/>
  <c r="G48" s="1"/>
  <c r="G46"/>
  <c r="G45" s="1"/>
  <c r="G51" l="1"/>
  <c r="G143"/>
  <c r="G105"/>
  <c r="G99" l="1"/>
  <c r="G103" l="1"/>
  <c r="G90" s="1"/>
  <c r="G212"/>
  <c r="G126"/>
  <c r="G217" l="1"/>
  <c r="G211" s="1"/>
  <c r="G130" l="1"/>
  <c r="G125" s="1"/>
  <c r="I240"/>
  <c r="I239" s="1"/>
  <c r="I238" s="1"/>
  <c r="I13" s="1"/>
  <c r="I466" s="1"/>
  <c r="G178" l="1"/>
  <c r="G166" s="1"/>
  <c r="G352" l="1"/>
  <c r="G112" l="1"/>
  <c r="G111" s="1"/>
  <c r="G110" s="1"/>
  <c r="G285" l="1"/>
  <c r="G284" s="1"/>
  <c r="G281" s="1"/>
  <c r="G122"/>
  <c r="G121" s="1"/>
  <c r="G120" s="1"/>
  <c r="G347" l="1"/>
  <c r="G342" s="1"/>
  <c r="G326" s="1"/>
  <c r="G13" s="1"/>
  <c r="G466" s="1"/>
</calcChain>
</file>

<file path=xl/sharedStrings.xml><?xml version="1.0" encoding="utf-8"?>
<sst xmlns="http://schemas.openxmlformats.org/spreadsheetml/2006/main" count="2511" uniqueCount="458">
  <si>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</si>
  <si>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</si>
  <si>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</si>
  <si>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</si>
  <si>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</si>
  <si>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</si>
  <si>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</si>
  <si>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</si>
  <si>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</si>
  <si>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</si>
  <si>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</si>
  <si>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</si>
  <si>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</si>
  <si>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</si>
  <si>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</si>
  <si>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</si>
  <si>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</si>
  <si>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</si>
  <si>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</si>
  <si>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</si>
  <si>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</si>
  <si>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</si>
  <si>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</si>
  <si>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</si>
  <si>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</si>
  <si>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</si>
  <si>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</si>
  <si>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</si>
  <si>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</si>
  <si>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</si>
  <si>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</si>
  <si>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</si>
  <si>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</si>
  <si>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</si>
  <si>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</si>
  <si>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</si>
  <si>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</si>
  <si>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</si>
  <si>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</si>
  <si>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</si>
  <si>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</si>
  <si>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</si>
  <si>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</si>
  <si>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</si>
  <si>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</si>
  <si>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</si>
  <si>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</si>
  <si>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</si>
  <si>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</si>
  <si>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</si>
  <si>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</si>
  <si>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</si>
  <si>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</si>
  <si>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</si>
  <si>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</si>
  <si>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</si>
  <si>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</si>
  <si>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</si>
  <si>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</si>
  <si>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</si>
  <si>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</si>
  <si>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</si>
  <si>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</si>
  <si>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</si>
  <si>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</si>
  <si>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</si>
  <si>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</si>
  <si>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</si>
  <si>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</si>
  <si>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</si>
  <si>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</si>
  <si>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</si>
  <si>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</si>
  <si>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</si>
  <si>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</si>
  <si>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</si>
  <si>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</si>
  <si>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</si>
  <si>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</si>
  <si>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</si>
  <si>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</si>
  <si>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</si>
  <si>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</si>
  <si>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</si>
  <si>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</si>
  <si>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</si>
  <si>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</si>
  <si>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</si>
  <si>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</si>
  <si>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</si>
  <si>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</si>
  <si>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</si>
  <si>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</si>
  <si>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</si>
  <si>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</si>
  <si>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</si>
  <si>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</si>
  <si>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</si>
  <si>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</si>
  <si>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</si>
  <si>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</si>
  <si>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</si>
  <si>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</si>
  <si>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</si>
  <si>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</si>
  <si>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</si>
  <si>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</si>
  <si>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</si>
  <si>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</si>
  <si>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</si>
  <si>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</si>
  <si>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</si>
  <si>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</si>
  <si>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</si>
  <si>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</si>
  <si>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</si>
  <si>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</si>
  <si>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</si>
  <si>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</si>
  <si>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</si>
  <si>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</si>
  <si>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</si>
  <si>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</si>
  <si>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</si>
  <si>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</si>
  <si>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</si>
  <si>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</si>
  <si>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</si>
  <si>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</si>
  <si>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</si>
  <si>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</si>
  <si>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</si>
  <si>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</si>
  <si>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</si>
  <si>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</si>
  <si>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</si>
  <si>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</si>
  <si>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</si>
  <si>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</si>
  <si>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</si>
  <si>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</si>
  <si>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</si>
  <si>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</si>
  <si>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</si>
  <si>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</si>
  <si>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</si>
  <si>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</si>
  <si>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</si>
  <si>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</si>
  <si>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</si>
  <si>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</si>
  <si>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</si>
  <si>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</si>
  <si>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</si>
  <si>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</si>
  <si>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</si>
  <si>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</si>
  <si>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</si>
  <si>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</si>
  <si>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</si>
  <si>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</si>
  <si>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</si>
  <si>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</si>
  <si>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</si>
  <si>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</si>
  <si>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</si>
  <si>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</si>
  <si>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</si>
  <si>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</si>
  <si>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</si>
  <si>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</si>
  <si>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</si>
  <si>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</si>
  <si>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</si>
  <si>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</si>
  <si>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</si>
  <si>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</si>
  <si>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</si>
  <si>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</si>
  <si>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</si>
  <si>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</si>
  <si>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</si>
  <si>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</si>
  <si>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</si>
  <si>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</si>
  <si>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</si>
  <si>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</si>
  <si>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</si>
  <si>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</si>
  <si>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</si>
  <si>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</si>
  <si>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</si>
  <si>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</si>
  <si>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</si>
  <si>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</si>
  <si>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</si>
  <si>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</si>
  <si>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</si>
  <si>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</si>
  <si>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</si>
  <si>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</si>
  <si>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</si>
  <si>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</si>
  <si>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</si>
  <si>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</si>
  <si>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</si>
  <si>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</si>
  <si>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</si>
  <si>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</si>
  <si>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</si>
  <si>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</si>
  <si>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</si>
  <si>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</si>
  <si>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</si>
  <si>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</si>
  <si>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</si>
  <si>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</si>
  <si>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</si>
  <si>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</si>
  <si>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</si>
  <si>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</si>
  <si>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</si>
  <si>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</si>
  <si>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</si>
  <si>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</si>
  <si>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</si>
  <si>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</si>
  <si>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</si>
  <si>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</si>
  <si>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</si>
  <si>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</si>
  <si>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</si>
  <si>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</si>
  <si>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</si>
  <si>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</si>
  <si>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</si>
  <si>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</si>
  <si>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</si>
  <si>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</si>
  <si>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</si>
  <si>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</si>
  <si>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</si>
  <si>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</si>
  <si>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</si>
  <si>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</si>
  <si>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</si>
  <si>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</si>
  <si>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</si>
  <si>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</si>
  <si>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</si>
  <si>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</si>
  <si>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</si>
  <si>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</si>
  <si>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</si>
  <si>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</si>
  <si>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</si>
  <si>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</si>
  <si>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</si>
  <si>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</si>
  <si>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</si>
  <si>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</si>
  <si>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</si>
  <si>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</si>
  <si>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</si>
  <si>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</si>
  <si>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</si>
  <si>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</si>
  <si>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</si>
  <si>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</si>
  <si>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</si>
  <si>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</si>
  <si>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</si>
  <si>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</si>
  <si>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</si>
  <si>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</si>
  <si>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</si>
  <si>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</si>
  <si>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</si>
  <si>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</si>
  <si>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</si>
  <si>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</si>
  <si>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</si>
  <si>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</si>
  <si>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</si>
  <si>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</si>
  <si>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</si>
  <si>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</si>
  <si>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</si>
  <si>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</si>
  <si>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</si>
  <si>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</si>
  <si>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</si>
  <si>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</si>
  <si>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</si>
  <si>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</si>
  <si>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</si>
  <si>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</si>
  <si>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</si>
  <si>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</si>
  <si>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</si>
  <si>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</si>
  <si>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</si>
  <si>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</si>
  <si>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</si>
  <si>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</si>
  <si>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</si>
  <si>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</si>
  <si>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</si>
  <si>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</si>
  <si>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</si>
  <si>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</si>
  <si>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</si>
  <si>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</si>
  <si>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</si>
  <si>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</si>
  <si>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</si>
  <si>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</si>
  <si>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</si>
  <si>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</si>
  <si>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Оснащение оборудованием пришкольной детской площадки в образовательных организациях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</si>
  <si>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</si>
  <si>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</si>
  <si>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</si>
  <si>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</si>
  <si>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</si>
  <si>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</si>
  <si>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</si>
  <si>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</si>
  <si>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</si>
  <si>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</si>
  <si>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</si>
  <si>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</si>
  <si>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</si>
  <si>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</si>
  <si>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29001L4970</t>
  </si>
  <si>
    <t>3300221502</t>
  </si>
  <si>
    <t>Уплата иных платежей</t>
  </si>
  <si>
    <t>853</t>
  </si>
  <si>
    <t>1300523760</t>
  </si>
  <si>
    <t>16005L3040</t>
  </si>
  <si>
    <t>Уплата прочих налогов и сборов</t>
  </si>
  <si>
    <t>НА 2023 ФИНАНСОВЫЙ ГОД И ПЛАНОВЫЙ ПЕРИОД 2024 И 2025 ГОДОВ</t>
  </si>
  <si>
    <t>0900620107</t>
  </si>
  <si>
    <t>Обустройство транспортной инфраструктурой земельных участков для ижс многодетным семьям</t>
  </si>
  <si>
    <t>на 2025 год</t>
  </si>
  <si>
    <t>3500121501</t>
  </si>
  <si>
    <t>Обеспечение жилыми помещениями инвалидов и семей имеющих детей инвалидов</t>
  </si>
  <si>
    <t>Реконструкция и модернизация объектов коммунальной инфраструктуры (капитальные ремонт сетей теплоснабжения)</t>
  </si>
  <si>
    <t>1300321503</t>
  </si>
  <si>
    <t>Техническое обслуживание инженерных сетей, аварийное прикрытие, первичный пуск газа</t>
  </si>
  <si>
    <t xml:space="preserve"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</t>
  </si>
  <si>
    <t>3300242110</t>
  </si>
  <si>
    <t>1300323720</t>
  </si>
  <si>
    <t xml:space="preserve"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 </t>
  </si>
  <si>
    <t>Аренда (лизинг) системы осветительного оборудования</t>
  </si>
  <si>
    <t>1600345Ш00</t>
  </si>
  <si>
    <t>16003S5Ш00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</si>
  <si>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</si>
  <si>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</si>
  <si>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Оснащение оборудованием пришкольной детской площадки в образовательных организациях на условиях софинансирования за счёт средств местного бюджета</t>
  </si>
  <si>
    <t>1200123110</t>
  </si>
  <si>
    <t>Выполнение работ по устронению последствий чрезвычайных ситуаций природного и техногенного характера</t>
  </si>
  <si>
    <t>0500320100</t>
  </si>
  <si>
    <t>Выполнение мероприятий по гражданской обороне</t>
  </si>
  <si>
    <t>3300321503</t>
  </si>
  <si>
    <t>Непрограмные направления деятельности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</si>
  <si>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</si>
  <si>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</si>
  <si>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</si>
  <si>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</si>
  <si>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7000000000</t>
  </si>
  <si>
    <t>1300242110</t>
  </si>
  <si>
    <t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за счёт средств местного бюджета</t>
  </si>
  <si>
    <t>13002S2110</t>
  </si>
  <si>
    <t>Оснащение оборудованием пришкольной детской площадки в образовательных организациях  (местный бюджет)</t>
  </si>
  <si>
    <t>1600525210</t>
  </si>
  <si>
    <t>Исполнение судебных актов</t>
  </si>
  <si>
    <t>831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</si>
  <si>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</si>
  <si>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</si>
  <si>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Проведение мероприятий по обеспечению деятельности советников директора по воспитанию и взаимодействию с детскими и общественными объединениями в общеобразовательных организациях</t>
  </si>
  <si>
    <t>Субсидии бюджетным учреждениям</t>
  </si>
  <si>
    <t>160ЕВ51790</t>
  </si>
  <si>
    <t>1600351790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</si>
  <si>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</si>
  <si>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</si>
  <si>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>16003L3030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</si>
  <si>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 </t>
  </si>
  <si>
    <t>1600745610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</si>
  <si>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детей-сирот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</t>
  </si>
  <si>
    <t>1600745200</t>
  </si>
  <si>
    <t>7001021104</t>
  </si>
  <si>
    <t>830</t>
  </si>
  <si>
    <t>Оплата эл/энергии на автомобильном мосту</t>
  </si>
  <si>
    <t>Уплата налогов, сборов и иных платежей</t>
  </si>
  <si>
    <t>0500420100</t>
  </si>
  <si>
    <t>Услуги страхования</t>
  </si>
  <si>
    <t>1300723770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</si>
  <si>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</si>
  <si>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1300029200</t>
  </si>
  <si>
    <t>Ремонт автомобильных дорог общего пользования местного значения</t>
  </si>
  <si>
    <t>0900720108</t>
  </si>
  <si>
    <t>Межбюджетный трансферт на ликвидацию чрезвычайной ситуации регионального характера</t>
  </si>
  <si>
    <t>7000040700</t>
  </si>
  <si>
    <t>Резервные средства на оказание материальной помощи гражданам</t>
  </si>
  <si>
    <t>Резервные средства на санитарную очистку (обработку) территории</t>
  </si>
  <si>
    <t>1300223200</t>
  </si>
  <si>
    <t>Выполнение строительно-монтажных работ по объекту"Одноэтажная застройка в посёлке Таёжном"</t>
  </si>
  <si>
    <t>Оформление и постановка на государственный кадастровый учет земельных участков для индивидуального жилищного строительства</t>
  </si>
  <si>
    <t>Выполнение строительно-монтажных работ по объекту"Одноэтажная застройка в посёлке Таёжном"на условиях софинансирования за счёт средств местного бюджета</t>
  </si>
  <si>
    <t xml:space="preserve">На обустройство шести колодцев, расположенных по адресам: пос. Таёжный, ул.Новая, Школьная, Борьбы, Комсомольская, 8 Марта, Советская   </t>
  </si>
  <si>
    <t>0900640700</t>
  </si>
  <si>
    <t>Межбюджетный трансферт на строительство реконструкцию, капитальный ремонт, ремонт автомобильных дорог общего пользования местного значения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</si>
  <si>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 </t>
  </si>
  <si>
    <t>7000340600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</si>
  <si>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(Глава муниципального образования) </t>
  </si>
  <si>
    <t>7000140600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</si>
  <si>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(Осуществление обслуживания органов местного самоуправления) </t>
  </si>
  <si>
    <t>0100140600</t>
  </si>
  <si>
    <t>0100640600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</si>
  <si>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обслуживающего персонала учреждений культуры)</t>
  </si>
  <si>
    <t>1700640600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</si>
  <si>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(Председатель представительного органа  муниципального образования) </t>
  </si>
  <si>
    <t>7000240600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</si>
  <si>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  представительного органа  муниципального образования)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</si>
  <si>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аппарат)Финансовый отдел </t>
  </si>
  <si>
    <t>0300140600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</si>
  <si>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(Руководитель контрольно-счётной палаты муниципального образования и его заместители) </t>
  </si>
  <si>
    <t>7000540600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</si>
  <si>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(территориальные органы) </t>
  </si>
  <si>
    <t>7000440600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</si>
  <si>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(Дошкольное образование) </t>
  </si>
  <si>
    <t>1600140600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</si>
  <si>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(Общее образование)</t>
  </si>
  <si>
    <t>1600340600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</si>
  <si>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(Дополнительное образование детей) </t>
  </si>
  <si>
    <t>1600640600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</si>
  <si>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(Массовый спорт) </t>
  </si>
  <si>
    <t>0700340600</t>
  </si>
  <si>
    <t xml:space="preserve">Информатизация муниципальных библиотек, софинансирование за счёт средств местного бюджета </t>
  </si>
  <si>
    <t>17002S6200</t>
  </si>
  <si>
    <t>Межбюджетный трансферт для приобретения вакумной машины на шассии ГАЗ NEXT</t>
  </si>
  <si>
    <t>1300340700</t>
  </si>
  <si>
    <t>Снос бесхозяйных  домовладений на территории Махнёвского муниципального образования</t>
  </si>
  <si>
    <t>1300323300</t>
  </si>
  <si>
    <t>Разработка ПСД для реконструкции очистных сооружений в пгт.Махнёво</t>
  </si>
  <si>
    <t>414</t>
  </si>
  <si>
    <t xml:space="preserve">  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</si>
  <si>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(Центральный аппарат)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</si>
  <si>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</si>
  <si>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7000340700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</si>
  <si>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№46 от 20.09.2023г</t>
  </si>
  <si>
    <t>7000155490</t>
  </si>
  <si>
    <t>7000355490</t>
  </si>
  <si>
    <t>7000455490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</si>
  <si>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(Территориальные органы)</t>
  </si>
  <si>
    <t>0300155490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</si>
  <si>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(ФО)</t>
  </si>
</sst>
</file>

<file path=xl/styles.xml><?xml version="1.0" encoding="utf-8"?>
<styleSheet xmlns="http://schemas.openxmlformats.org/spreadsheetml/2006/main">
  <fonts count="20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1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7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49" fontId="1" fillId="4" borderId="10" xfId="17" applyNumberFormat="1" applyFill="1" applyProtection="1">
      <alignment horizontal="center" vertical="top" shrinkToFit="1"/>
    </xf>
    <xf numFmtId="0" fontId="12" fillId="5" borderId="16" xfId="0" applyFont="1" applyFill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justify"/>
    </xf>
    <xf numFmtId="0" fontId="12" fillId="5" borderId="18" xfId="0" applyFont="1" applyFill="1" applyBorder="1" applyAlignment="1">
      <alignment horizontal="left" vertical="center" wrapText="1" shrinkToFit="1"/>
    </xf>
    <xf numFmtId="49" fontId="11" fillId="0" borderId="10" xfId="17" applyNumberFormat="1" applyFont="1" applyFill="1" applyProtection="1">
      <alignment horizontal="center" vertical="top" shrinkToFit="1"/>
    </xf>
    <xf numFmtId="0" fontId="1" fillId="4" borderId="10" xfId="16" applyNumberFormat="1" applyFill="1" applyProtection="1">
      <alignment horizontal="left" vertical="top" wrapText="1"/>
    </xf>
    <xf numFmtId="0" fontId="1" fillId="0" borderId="10" xfId="16" applyNumberFormat="1" applyFill="1" applyProtection="1">
      <alignment horizontal="left" vertical="top" wrapText="1"/>
    </xf>
    <xf numFmtId="0" fontId="11" fillId="0" borderId="1" xfId="1" applyNumberFormat="1" applyFont="1" applyFill="1" applyProtection="1"/>
    <xf numFmtId="0" fontId="12" fillId="5" borderId="19" xfId="0" applyFont="1" applyFill="1" applyBorder="1" applyAlignment="1">
      <alignment horizontal="left" vertical="center" wrapText="1" shrinkToFit="1"/>
    </xf>
    <xf numFmtId="49" fontId="19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" fillId="0" borderId="20" xfId="16" applyNumberFormat="1" applyBorder="1" applyProtection="1">
      <alignment horizontal="left" vertical="top" wrapText="1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2" fillId="0" borderId="1" xfId="3" applyNumberFormat="1" applyFont="1" applyAlignment="1" applyProtection="1">
      <alignment horizontal="center" vertical="top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8" fillId="0" borderId="2" xfId="14" applyNumberFormat="1" applyFont="1" applyProtection="1">
      <alignment horizontal="center"/>
    </xf>
    <xf numFmtId="0" fontId="18" fillId="0" borderId="2" xfId="14" applyFont="1">
      <alignment horizontal="center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9"/>
  <sheetViews>
    <sheetView showGridLines="0" tabSelected="1" topLeftCell="A100" workbookViewId="0">
      <selection activeCell="M188" sqref="M188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1" ht="49.5" customHeight="1">
      <c r="E1" s="86" t="s">
        <v>451</v>
      </c>
      <c r="F1" s="86"/>
      <c r="G1" s="86"/>
      <c r="H1" s="86"/>
      <c r="I1" s="86"/>
    </row>
    <row r="2" spans="1:11" ht="27" customHeight="1">
      <c r="A2" s="91" t="s">
        <v>306</v>
      </c>
      <c r="B2" s="92"/>
      <c r="C2" s="92"/>
      <c r="D2" s="92"/>
      <c r="E2" s="92"/>
      <c r="F2" s="92"/>
      <c r="G2" s="92"/>
      <c r="H2" s="92"/>
      <c r="I2" s="92"/>
    </row>
    <row r="3" spans="1:11" ht="15.75" customHeight="1">
      <c r="A3" s="93" t="s">
        <v>341</v>
      </c>
      <c r="B3" s="92"/>
      <c r="C3" s="92"/>
      <c r="D3" s="92"/>
      <c r="E3" s="92"/>
      <c r="F3" s="92"/>
      <c r="G3" s="92"/>
      <c r="H3" s="92"/>
      <c r="I3" s="92"/>
      <c r="J3" s="1" t="s">
        <v>447</v>
      </c>
    </row>
    <row r="4" spans="1:11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1" ht="24.2" customHeight="1">
      <c r="A5" s="2" t="s">
        <v>1</v>
      </c>
      <c r="B5" s="87" t="s">
        <v>2</v>
      </c>
      <c r="C5" s="88"/>
      <c r="D5" s="88"/>
      <c r="E5" s="88"/>
      <c r="F5" s="88"/>
      <c r="G5" s="89" t="s">
        <v>3</v>
      </c>
      <c r="H5" s="90"/>
      <c r="I5" s="6" t="s">
        <v>4</v>
      </c>
    </row>
    <row r="6" spans="1:11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1" ht="13.5" customHeight="1">
      <c r="A7" s="2"/>
      <c r="B7" s="2"/>
      <c r="C7" s="2"/>
      <c r="D7" s="2"/>
      <c r="E7" s="2"/>
      <c r="F7" s="2"/>
      <c r="G7" s="89" t="s">
        <v>6</v>
      </c>
      <c r="H7" s="90"/>
      <c r="I7" s="10" t="s">
        <v>7</v>
      </c>
      <c r="J7" s="1" t="s">
        <v>309</v>
      </c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5.75" customHeight="1">
      <c r="A9" s="94" t="s">
        <v>307</v>
      </c>
      <c r="B9" s="95"/>
      <c r="C9" s="95"/>
      <c r="D9" s="95"/>
      <c r="E9" s="95"/>
      <c r="F9" s="95"/>
      <c r="G9" s="95"/>
      <c r="H9" s="95"/>
      <c r="I9" s="95"/>
      <c r="K9" s="1" t="s">
        <v>309</v>
      </c>
    </row>
    <row r="10" spans="1:11" ht="12.75" customHeight="1">
      <c r="A10" s="96" t="s">
        <v>8</v>
      </c>
      <c r="B10" s="96" t="s">
        <v>9</v>
      </c>
      <c r="C10" s="97"/>
      <c r="D10" s="97"/>
      <c r="E10" s="97"/>
      <c r="F10" s="97"/>
      <c r="G10" s="96" t="s">
        <v>10</v>
      </c>
      <c r="H10" s="97"/>
      <c r="I10" s="97"/>
    </row>
    <row r="11" spans="1:11" ht="63.75" customHeight="1">
      <c r="A11" s="97"/>
      <c r="B11" s="18" t="s">
        <v>308</v>
      </c>
      <c r="C11" s="11" t="s">
        <v>11</v>
      </c>
      <c r="D11" s="11" t="s">
        <v>12</v>
      </c>
      <c r="E11" s="11" t="s">
        <v>13</v>
      </c>
      <c r="F11" s="11" t="s">
        <v>14</v>
      </c>
      <c r="G11" s="72" t="s">
        <v>16</v>
      </c>
      <c r="H11" s="73" t="s">
        <v>314</v>
      </c>
      <c r="I11" s="73" t="s">
        <v>344</v>
      </c>
    </row>
    <row r="12" spans="1:1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1" ht="30">
      <c r="A13" s="19" t="s">
        <v>312</v>
      </c>
      <c r="B13" s="13" t="s">
        <v>17</v>
      </c>
      <c r="C13" s="13"/>
      <c r="D13" s="13"/>
      <c r="E13" s="13"/>
      <c r="F13" s="13"/>
      <c r="G13" s="27">
        <f>G14+G24+G45+G48+G51+G78+G83+G90+G110+G117+G120+G125+G140+G143+G166+G182+G211++G230+G234+G238+G246+G266+G270+G281+G326+G362+G365+G387+G392+G401+G411</f>
        <v>856293110.3900001</v>
      </c>
      <c r="H13" s="26">
        <f>H14+H24+H45+H48+H51+H78+H83+H90+H110+H117+H120+H125+H140+H143+H166+H182+H211++H230+H234+H238+H246+H266+H270+H281+H326+H362+H365+H387+H392+H401+H411</f>
        <v>393588600</v>
      </c>
      <c r="I13" s="26">
        <f>I14+I24+I45+I48+I51+I78+I83+I90+I110+I117+I120+I125+I140+I143+I166+I182+I211++I230+I234+I238+I246+I266+I270+I281+I326+I362+I365+I387+I392+I401+I411</f>
        <v>359576100</v>
      </c>
    </row>
    <row r="14" spans="1:11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51">
        <f>G15+G18+G21</f>
        <v>1840364.55</v>
      </c>
      <c r="H14" s="65">
        <f>H15</f>
        <v>1740000</v>
      </c>
      <c r="I14" s="65">
        <f>I15</f>
        <v>1740000</v>
      </c>
    </row>
    <row r="15" spans="1:11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3">
        <f>G16+G17</f>
        <v>1740000</v>
      </c>
      <c r="H15" s="23">
        <v>1740000</v>
      </c>
      <c r="I15" s="23">
        <v>1740000</v>
      </c>
    </row>
    <row r="16" spans="1:11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3">
        <v>1336400</v>
      </c>
      <c r="H16" s="23">
        <v>1336400</v>
      </c>
      <c r="I16" s="23">
        <v>1336400</v>
      </c>
    </row>
    <row r="17" spans="1:12" ht="38.25">
      <c r="A17" s="62" t="s">
        <v>25</v>
      </c>
      <c r="B17" s="60" t="s">
        <v>17</v>
      </c>
      <c r="C17" s="60" t="s">
        <v>19</v>
      </c>
      <c r="D17" s="60" t="s">
        <v>20</v>
      </c>
      <c r="E17" s="60" t="s">
        <v>22</v>
      </c>
      <c r="F17" s="60" t="s">
        <v>26</v>
      </c>
      <c r="G17" s="23">
        <v>403600</v>
      </c>
      <c r="H17" s="23">
        <v>403600</v>
      </c>
      <c r="I17" s="23">
        <v>403600</v>
      </c>
    </row>
    <row r="18" spans="1:12" ht="84.75" customHeight="1">
      <c r="A18" s="34" t="s">
        <v>415</v>
      </c>
      <c r="B18" s="63" t="s">
        <v>17</v>
      </c>
      <c r="C18" s="63" t="s">
        <v>19</v>
      </c>
      <c r="D18" s="63" t="s">
        <v>20</v>
      </c>
      <c r="E18" s="63"/>
      <c r="F18" s="63"/>
      <c r="G18" s="23">
        <f>G19+G20</f>
        <v>22244.55</v>
      </c>
      <c r="H18" s="23">
        <v>0</v>
      </c>
      <c r="I18" s="23">
        <v>0</v>
      </c>
    </row>
    <row r="19" spans="1:12" ht="29.25" customHeight="1">
      <c r="A19" s="12" t="s">
        <v>23</v>
      </c>
      <c r="B19" s="63" t="s">
        <v>17</v>
      </c>
      <c r="C19" s="63" t="s">
        <v>19</v>
      </c>
      <c r="D19" s="63" t="s">
        <v>20</v>
      </c>
      <c r="E19" s="63" t="s">
        <v>416</v>
      </c>
      <c r="F19" s="63" t="s">
        <v>24</v>
      </c>
      <c r="G19" s="23">
        <v>17084.91</v>
      </c>
      <c r="H19" s="23">
        <v>0</v>
      </c>
      <c r="I19" s="23">
        <v>0</v>
      </c>
    </row>
    <row r="20" spans="1:12" ht="40.5" customHeight="1">
      <c r="A20" s="85" t="s">
        <v>25</v>
      </c>
      <c r="B20" s="63" t="s">
        <v>17</v>
      </c>
      <c r="C20" s="63" t="s">
        <v>19</v>
      </c>
      <c r="D20" s="63" t="s">
        <v>20</v>
      </c>
      <c r="E20" s="63" t="s">
        <v>416</v>
      </c>
      <c r="F20" s="63" t="s">
        <v>26</v>
      </c>
      <c r="G20" s="23">
        <v>5159.6400000000003</v>
      </c>
      <c r="H20" s="23">
        <v>0</v>
      </c>
      <c r="I20" s="23">
        <v>0</v>
      </c>
    </row>
    <row r="21" spans="1:12" ht="75.75" customHeight="1">
      <c r="A21" s="84" t="s">
        <v>449</v>
      </c>
      <c r="B21" s="63" t="s">
        <v>17</v>
      </c>
      <c r="C21" s="63" t="s">
        <v>19</v>
      </c>
      <c r="D21" s="63" t="s">
        <v>20</v>
      </c>
      <c r="E21" s="63" t="s">
        <v>452</v>
      </c>
      <c r="F21" s="63"/>
      <c r="G21" s="23">
        <f>G22+G23</f>
        <v>78120</v>
      </c>
      <c r="H21" s="23">
        <v>0</v>
      </c>
      <c r="I21" s="23">
        <v>0</v>
      </c>
    </row>
    <row r="22" spans="1:12" ht="27" customHeight="1">
      <c r="A22" s="12" t="s">
        <v>23</v>
      </c>
      <c r="B22" s="63" t="s">
        <v>17</v>
      </c>
      <c r="C22" s="63" t="s">
        <v>19</v>
      </c>
      <c r="D22" s="63" t="s">
        <v>20</v>
      </c>
      <c r="E22" s="63" t="s">
        <v>452</v>
      </c>
      <c r="F22" s="63" t="s">
        <v>24</v>
      </c>
      <c r="G22" s="20">
        <v>60000</v>
      </c>
      <c r="H22" s="23">
        <v>0</v>
      </c>
      <c r="I22" s="23">
        <v>0</v>
      </c>
    </row>
    <row r="23" spans="1:12" ht="40.5" customHeight="1">
      <c r="A23" s="62" t="s">
        <v>25</v>
      </c>
      <c r="B23" s="63" t="s">
        <v>17</v>
      </c>
      <c r="C23" s="63" t="s">
        <v>19</v>
      </c>
      <c r="D23" s="63" t="s">
        <v>20</v>
      </c>
      <c r="E23" s="63" t="s">
        <v>452</v>
      </c>
      <c r="F23" s="63" t="s">
        <v>26</v>
      </c>
      <c r="G23" s="20">
        <v>18120</v>
      </c>
      <c r="H23" s="23">
        <v>0</v>
      </c>
      <c r="I23" s="23">
        <v>0</v>
      </c>
    </row>
    <row r="24" spans="1:12" ht="43.5" customHeight="1">
      <c r="A24" s="12" t="s">
        <v>27</v>
      </c>
      <c r="B24" s="13" t="s">
        <v>17</v>
      </c>
      <c r="C24" s="13" t="s">
        <v>19</v>
      </c>
      <c r="D24" s="13" t="s">
        <v>28</v>
      </c>
      <c r="E24" s="13"/>
      <c r="F24" s="13"/>
      <c r="G24" s="51">
        <f>G25+G29+G30+G33+G36+G42</f>
        <v>21277415.070000004</v>
      </c>
      <c r="H24" s="65">
        <f>H25+H36</f>
        <v>20857409.899999999</v>
      </c>
      <c r="I24" s="65">
        <f>I25+I36</f>
        <v>20857401.899999999</v>
      </c>
      <c r="K24" s="1" t="s">
        <v>309</v>
      </c>
    </row>
    <row r="25" spans="1:12" ht="25.5">
      <c r="A25" s="12" t="s">
        <v>29</v>
      </c>
      <c r="B25" s="13" t="s">
        <v>17</v>
      </c>
      <c r="C25" s="13" t="s">
        <v>19</v>
      </c>
      <c r="D25" s="13" t="s">
        <v>28</v>
      </c>
      <c r="E25" s="13" t="s">
        <v>30</v>
      </c>
      <c r="F25" s="13"/>
      <c r="G25" s="64">
        <f>G26+G27</f>
        <v>14930000</v>
      </c>
      <c r="H25" s="64">
        <f>H26+H27</f>
        <v>16302234.9</v>
      </c>
      <c r="I25" s="64">
        <f>I26+I27</f>
        <v>16302226.9</v>
      </c>
    </row>
    <row r="26" spans="1:12" ht="25.5">
      <c r="A26" s="12" t="s">
        <v>23</v>
      </c>
      <c r="B26" s="29" t="s">
        <v>17</v>
      </c>
      <c r="C26" s="29" t="s">
        <v>19</v>
      </c>
      <c r="D26" s="29" t="s">
        <v>28</v>
      </c>
      <c r="E26" s="29" t="s">
        <v>30</v>
      </c>
      <c r="F26" s="29" t="s">
        <v>24</v>
      </c>
      <c r="G26" s="23">
        <f>12235000-700000</f>
        <v>11535000</v>
      </c>
      <c r="H26" s="23">
        <v>12520924.9</v>
      </c>
      <c r="I26" s="23">
        <v>12520916.9</v>
      </c>
      <c r="L26" s="1" t="s">
        <v>309</v>
      </c>
    </row>
    <row r="27" spans="1:12" ht="38.25">
      <c r="A27" s="12" t="s">
        <v>25</v>
      </c>
      <c r="B27" s="29" t="s">
        <v>17</v>
      </c>
      <c r="C27" s="29" t="s">
        <v>19</v>
      </c>
      <c r="D27" s="29" t="s">
        <v>28</v>
      </c>
      <c r="E27" s="29" t="s">
        <v>30</v>
      </c>
      <c r="F27" s="29" t="s">
        <v>26</v>
      </c>
      <c r="G27" s="23">
        <f>3695000-300000</f>
        <v>3395000</v>
      </c>
      <c r="H27" s="23">
        <v>3781310</v>
      </c>
      <c r="I27" s="23">
        <v>3781310</v>
      </c>
    </row>
    <row r="28" spans="1:12" ht="25.5">
      <c r="A28" s="80" t="s">
        <v>402</v>
      </c>
      <c r="B28" s="63" t="s">
        <v>17</v>
      </c>
      <c r="C28" s="63" t="s">
        <v>19</v>
      </c>
      <c r="D28" s="63" t="s">
        <v>28</v>
      </c>
      <c r="E28" s="63" t="s">
        <v>450</v>
      </c>
      <c r="F28" s="63"/>
      <c r="G28" s="64">
        <f>G29</f>
        <v>1648600</v>
      </c>
      <c r="H28" s="23">
        <v>0</v>
      </c>
      <c r="I28" s="23">
        <v>0</v>
      </c>
    </row>
    <row r="29" spans="1:12">
      <c r="A29" s="12" t="s">
        <v>37</v>
      </c>
      <c r="B29" s="63" t="s">
        <v>17</v>
      </c>
      <c r="C29" s="63" t="s">
        <v>19</v>
      </c>
      <c r="D29" s="63" t="s">
        <v>28</v>
      </c>
      <c r="E29" s="63" t="s">
        <v>450</v>
      </c>
      <c r="F29" s="63" t="s">
        <v>38</v>
      </c>
      <c r="G29" s="20">
        <v>1648600</v>
      </c>
      <c r="H29" s="23">
        <v>0</v>
      </c>
      <c r="I29" s="23">
        <v>0</v>
      </c>
    </row>
    <row r="30" spans="1:12" ht="92.25" customHeight="1">
      <c r="A30" s="12" t="s">
        <v>413</v>
      </c>
      <c r="B30" s="63" t="s">
        <v>17</v>
      </c>
      <c r="C30" s="63" t="s">
        <v>19</v>
      </c>
      <c r="D30" s="63" t="s">
        <v>28</v>
      </c>
      <c r="E30" s="63" t="s">
        <v>414</v>
      </c>
      <c r="F30" s="63"/>
      <c r="G30" s="64">
        <f>G31+G32</f>
        <v>207593.48</v>
      </c>
      <c r="H30" s="23">
        <v>0</v>
      </c>
      <c r="I30" s="23">
        <v>0</v>
      </c>
    </row>
    <row r="31" spans="1:12" ht="26.25" customHeight="1">
      <c r="A31" s="12" t="s">
        <v>23</v>
      </c>
      <c r="B31" s="63" t="s">
        <v>17</v>
      </c>
      <c r="C31" s="63" t="s">
        <v>19</v>
      </c>
      <c r="D31" s="63" t="s">
        <v>28</v>
      </c>
      <c r="E31" s="63" t="s">
        <v>414</v>
      </c>
      <c r="F31" s="63" t="s">
        <v>24</v>
      </c>
      <c r="G31" s="23">
        <f>1046000-1046000+154144.01</f>
        <v>154144.01</v>
      </c>
      <c r="H31" s="23">
        <v>0</v>
      </c>
      <c r="I31" s="23">
        <v>0</v>
      </c>
    </row>
    <row r="32" spans="1:12" ht="40.5" customHeight="1">
      <c r="A32" s="12" t="s">
        <v>25</v>
      </c>
      <c r="B32" s="63" t="s">
        <v>17</v>
      </c>
      <c r="C32" s="63" t="s">
        <v>19</v>
      </c>
      <c r="D32" s="63" t="s">
        <v>28</v>
      </c>
      <c r="E32" s="63" t="s">
        <v>414</v>
      </c>
      <c r="F32" s="63" t="s">
        <v>26</v>
      </c>
      <c r="G32" s="23">
        <v>53449.47</v>
      </c>
      <c r="H32" s="23">
        <v>0</v>
      </c>
      <c r="I32" s="23">
        <v>0</v>
      </c>
    </row>
    <row r="33" spans="1:12" ht="88.5" customHeight="1">
      <c r="A33" s="84" t="s">
        <v>448</v>
      </c>
      <c r="B33" s="63" t="s">
        <v>17</v>
      </c>
      <c r="C33" s="63" t="s">
        <v>19</v>
      </c>
      <c r="D33" s="63" t="s">
        <v>28</v>
      </c>
      <c r="E33" s="63" t="s">
        <v>453</v>
      </c>
      <c r="F33" s="63"/>
      <c r="G33" s="64">
        <f>G34+G35</f>
        <v>46415.100000000006</v>
      </c>
      <c r="H33" s="23">
        <v>0</v>
      </c>
      <c r="I33" s="23">
        <v>0</v>
      </c>
    </row>
    <row r="34" spans="1:12" ht="27" customHeight="1">
      <c r="A34" s="12" t="s">
        <v>23</v>
      </c>
      <c r="B34" s="63" t="s">
        <v>17</v>
      </c>
      <c r="C34" s="63" t="s">
        <v>19</v>
      </c>
      <c r="D34" s="63" t="s">
        <v>28</v>
      </c>
      <c r="E34" s="63" t="s">
        <v>453</v>
      </c>
      <c r="F34" s="63" t="s">
        <v>24</v>
      </c>
      <c r="G34" s="20">
        <v>35648.400000000001</v>
      </c>
      <c r="H34" s="23">
        <v>0</v>
      </c>
      <c r="I34" s="23">
        <v>0</v>
      </c>
    </row>
    <row r="35" spans="1:12" ht="40.5" customHeight="1">
      <c r="A35" s="12" t="s">
        <v>25</v>
      </c>
      <c r="B35" s="63" t="s">
        <v>17</v>
      </c>
      <c r="C35" s="63" t="s">
        <v>19</v>
      </c>
      <c r="D35" s="63" t="s">
        <v>28</v>
      </c>
      <c r="E35" s="63" t="s">
        <v>453</v>
      </c>
      <c r="F35" s="63" t="s">
        <v>26</v>
      </c>
      <c r="G35" s="20">
        <v>10766.7</v>
      </c>
      <c r="H35" s="23">
        <v>0</v>
      </c>
      <c r="I35" s="23">
        <v>0</v>
      </c>
    </row>
    <row r="36" spans="1:12" ht="25.5">
      <c r="A36" s="12" t="s">
        <v>31</v>
      </c>
      <c r="B36" s="13" t="s">
        <v>17</v>
      </c>
      <c r="C36" s="13" t="s">
        <v>19</v>
      </c>
      <c r="D36" s="13" t="s">
        <v>28</v>
      </c>
      <c r="E36" s="13" t="s">
        <v>32</v>
      </c>
      <c r="F36" s="13"/>
      <c r="G36" s="64">
        <f>G37+G38+G39</f>
        <v>4420626.01</v>
      </c>
      <c r="H36" s="64">
        <f>H37+H38</f>
        <v>4555175</v>
      </c>
      <c r="I36" s="64">
        <f>I37+I38</f>
        <v>4555175</v>
      </c>
    </row>
    <row r="37" spans="1:12" ht="25.5">
      <c r="A37" s="12" t="s">
        <v>23</v>
      </c>
      <c r="B37" s="13" t="s">
        <v>17</v>
      </c>
      <c r="C37" s="13" t="s">
        <v>19</v>
      </c>
      <c r="D37" s="13" t="s">
        <v>28</v>
      </c>
      <c r="E37" s="13" t="s">
        <v>32</v>
      </c>
      <c r="F37" s="13" t="s">
        <v>24</v>
      </c>
      <c r="G37" s="23">
        <f>3632803.53-11838.7-50091.29-11323.53-187490.86</f>
        <v>3372059.15</v>
      </c>
      <c r="H37" s="23">
        <v>3679738</v>
      </c>
      <c r="I37" s="23">
        <v>3711910</v>
      </c>
    </row>
    <row r="38" spans="1:12" ht="38.25">
      <c r="A38" s="12" t="s">
        <v>25</v>
      </c>
      <c r="B38" s="13" t="s">
        <v>17</v>
      </c>
      <c r="C38" s="13" t="s">
        <v>19</v>
      </c>
      <c r="D38" s="13" t="s">
        <v>28</v>
      </c>
      <c r="E38" s="13" t="s">
        <v>32</v>
      </c>
      <c r="F38" s="13" t="s">
        <v>26</v>
      </c>
      <c r="G38" s="23">
        <f>1047196.47+11838.7-7813.7-57329.81</f>
        <v>993891.65999999992</v>
      </c>
      <c r="H38" s="23">
        <v>875437</v>
      </c>
      <c r="I38" s="23">
        <v>843265</v>
      </c>
      <c r="L38" s="1" t="s">
        <v>309</v>
      </c>
    </row>
    <row r="39" spans="1:12" ht="90.75" customHeight="1">
      <c r="A39" s="12" t="s">
        <v>429</v>
      </c>
      <c r="B39" s="63" t="s">
        <v>17</v>
      </c>
      <c r="C39" s="63" t="s">
        <v>19</v>
      </c>
      <c r="D39" s="63" t="s">
        <v>28</v>
      </c>
      <c r="E39" s="63"/>
      <c r="F39" s="63"/>
      <c r="G39" s="64">
        <f>G40+G41</f>
        <v>54675.199999999997</v>
      </c>
      <c r="H39" s="23">
        <v>0</v>
      </c>
      <c r="I39" s="23">
        <v>0</v>
      </c>
    </row>
    <row r="40" spans="1:12" ht="29.25" customHeight="1">
      <c r="A40" s="12" t="s">
        <v>23</v>
      </c>
      <c r="B40" s="63" t="s">
        <v>17</v>
      </c>
      <c r="C40" s="63" t="s">
        <v>19</v>
      </c>
      <c r="D40" s="63" t="s">
        <v>28</v>
      </c>
      <c r="E40" s="63" t="s">
        <v>430</v>
      </c>
      <c r="F40" s="63" t="s">
        <v>24</v>
      </c>
      <c r="G40" s="23">
        <f>7506.47+7317.41+7137.34+7214.74+7204.3+6256.41</f>
        <v>42636.67</v>
      </c>
      <c r="H40" s="23">
        <v>0</v>
      </c>
      <c r="I40" s="23">
        <v>0</v>
      </c>
    </row>
    <row r="41" spans="1:12" ht="29.25" customHeight="1">
      <c r="A41" s="12" t="s">
        <v>25</v>
      </c>
      <c r="B41" s="63" t="s">
        <v>17</v>
      </c>
      <c r="C41" s="63" t="s">
        <v>19</v>
      </c>
      <c r="D41" s="63" t="s">
        <v>28</v>
      </c>
      <c r="E41" s="63" t="s">
        <v>430</v>
      </c>
      <c r="F41" s="63" t="s">
        <v>26</v>
      </c>
      <c r="G41" s="23">
        <f>2266.95+1372.1+2155.48+2178.86+2175.7+1889.44</f>
        <v>12038.53</v>
      </c>
      <c r="H41" s="23">
        <v>0</v>
      </c>
      <c r="I41" s="23">
        <v>0</v>
      </c>
    </row>
    <row r="42" spans="1:12" ht="92.25" customHeight="1">
      <c r="A42" s="84" t="s">
        <v>455</v>
      </c>
      <c r="B42" s="63" t="s">
        <v>17</v>
      </c>
      <c r="C42" s="63" t="s">
        <v>19</v>
      </c>
      <c r="D42" s="63" t="s">
        <v>28</v>
      </c>
      <c r="E42" s="63" t="s">
        <v>454</v>
      </c>
      <c r="F42" s="63"/>
      <c r="G42" s="64">
        <f>G43+G44</f>
        <v>24180.48</v>
      </c>
      <c r="H42" s="23">
        <v>0</v>
      </c>
      <c r="I42" s="23">
        <v>0</v>
      </c>
    </row>
    <row r="43" spans="1:12" ht="29.25" customHeight="1">
      <c r="A43" s="12" t="s">
        <v>23</v>
      </c>
      <c r="B43" s="63" t="s">
        <v>17</v>
      </c>
      <c r="C43" s="63" t="s">
        <v>19</v>
      </c>
      <c r="D43" s="63" t="s">
        <v>28</v>
      </c>
      <c r="E43" s="63" t="s">
        <v>454</v>
      </c>
      <c r="F43" s="63" t="s">
        <v>24</v>
      </c>
      <c r="G43" s="23">
        <v>18571.8</v>
      </c>
      <c r="H43" s="23">
        <v>0</v>
      </c>
      <c r="I43" s="23">
        <v>0</v>
      </c>
    </row>
    <row r="44" spans="1:12" ht="29.25" customHeight="1">
      <c r="A44" s="12" t="s">
        <v>25</v>
      </c>
      <c r="B44" s="63" t="s">
        <v>17</v>
      </c>
      <c r="C44" s="63" t="s">
        <v>19</v>
      </c>
      <c r="D44" s="63" t="s">
        <v>28</v>
      </c>
      <c r="E44" s="63" t="s">
        <v>454</v>
      </c>
      <c r="F44" s="63" t="s">
        <v>26</v>
      </c>
      <c r="G44" s="23">
        <v>5608.68</v>
      </c>
      <c r="H44" s="23">
        <v>0</v>
      </c>
      <c r="I44" s="23">
        <v>0</v>
      </c>
    </row>
    <row r="45" spans="1:12">
      <c r="A45" s="12" t="s">
        <v>33</v>
      </c>
      <c r="B45" s="13" t="s">
        <v>17</v>
      </c>
      <c r="C45" s="13" t="s">
        <v>19</v>
      </c>
      <c r="D45" s="13" t="s">
        <v>34</v>
      </c>
      <c r="E45" s="13"/>
      <c r="F45" s="13"/>
      <c r="G45" s="51">
        <f t="shared" ref="G45:I46" si="0">G46</f>
        <v>700</v>
      </c>
      <c r="H45" s="65">
        <f t="shared" si="0"/>
        <v>700</v>
      </c>
      <c r="I45" s="65">
        <f t="shared" si="0"/>
        <v>600</v>
      </c>
    </row>
    <row r="46" spans="1:12" ht="89.25">
      <c r="A46" s="12" t="s">
        <v>35</v>
      </c>
      <c r="B46" s="13" t="s">
        <v>17</v>
      </c>
      <c r="C46" s="13" t="s">
        <v>19</v>
      </c>
      <c r="D46" s="13" t="s">
        <v>34</v>
      </c>
      <c r="E46" s="13" t="s">
        <v>36</v>
      </c>
      <c r="F46" s="13"/>
      <c r="G46" s="23">
        <f t="shared" si="0"/>
        <v>700</v>
      </c>
      <c r="H46" s="23">
        <f t="shared" si="0"/>
        <v>700</v>
      </c>
      <c r="I46" s="23">
        <f t="shared" si="0"/>
        <v>600</v>
      </c>
      <c r="J46" s="1" t="s">
        <v>309</v>
      </c>
    </row>
    <row r="47" spans="1:12">
      <c r="A47" s="12" t="s">
        <v>37</v>
      </c>
      <c r="B47" s="13" t="s">
        <v>17</v>
      </c>
      <c r="C47" s="13" t="s">
        <v>19</v>
      </c>
      <c r="D47" s="13" t="s">
        <v>34</v>
      </c>
      <c r="E47" s="13" t="s">
        <v>36</v>
      </c>
      <c r="F47" s="13" t="s">
        <v>38</v>
      </c>
      <c r="G47" s="23">
        <v>700</v>
      </c>
      <c r="H47" s="23">
        <v>700</v>
      </c>
      <c r="I47" s="23">
        <v>600</v>
      </c>
    </row>
    <row r="48" spans="1:12">
      <c r="A48" s="12" t="s">
        <v>39</v>
      </c>
      <c r="B48" s="13" t="s">
        <v>17</v>
      </c>
      <c r="C48" s="13" t="s">
        <v>19</v>
      </c>
      <c r="D48" s="13" t="s">
        <v>40</v>
      </c>
      <c r="E48" s="13"/>
      <c r="F48" s="13"/>
      <c r="G48" s="51">
        <f t="shared" ref="G48:I49" si="1">G49</f>
        <v>208000</v>
      </c>
      <c r="H48" s="65">
        <f t="shared" si="1"/>
        <v>0</v>
      </c>
      <c r="I48" s="65">
        <f t="shared" si="1"/>
        <v>0</v>
      </c>
    </row>
    <row r="49" spans="1:9">
      <c r="A49" s="12" t="s">
        <v>41</v>
      </c>
      <c r="B49" s="13" t="s">
        <v>17</v>
      </c>
      <c r="C49" s="13" t="s">
        <v>19</v>
      </c>
      <c r="D49" s="13" t="s">
        <v>40</v>
      </c>
      <c r="E49" s="13" t="s">
        <v>42</v>
      </c>
      <c r="F49" s="13"/>
      <c r="G49" s="23">
        <f t="shared" si="1"/>
        <v>208000</v>
      </c>
      <c r="H49" s="23">
        <f t="shared" si="1"/>
        <v>0</v>
      </c>
      <c r="I49" s="23">
        <f t="shared" si="1"/>
        <v>0</v>
      </c>
    </row>
    <row r="50" spans="1:9">
      <c r="A50" s="12" t="s">
        <v>43</v>
      </c>
      <c r="B50" s="13" t="s">
        <v>17</v>
      </c>
      <c r="C50" s="13" t="s">
        <v>19</v>
      </c>
      <c r="D50" s="13" t="s">
        <v>40</v>
      </c>
      <c r="E50" s="13" t="s">
        <v>42</v>
      </c>
      <c r="F50" s="13" t="s">
        <v>44</v>
      </c>
      <c r="G50" s="20">
        <f>300000-140000-50000+488000-140000-360000-20000+30000+360000-120000-60000-30000-20000-30000</f>
        <v>208000</v>
      </c>
      <c r="H50" s="23">
        <v>0</v>
      </c>
      <c r="I50" s="23">
        <v>0</v>
      </c>
    </row>
    <row r="51" spans="1:9">
      <c r="A51" s="12" t="s">
        <v>45</v>
      </c>
      <c r="B51" s="13" t="s">
        <v>17</v>
      </c>
      <c r="C51" s="13" t="s">
        <v>19</v>
      </c>
      <c r="D51" s="13" t="s">
        <v>46</v>
      </c>
      <c r="E51" s="13"/>
      <c r="F51" s="13"/>
      <c r="G51" s="64">
        <f>G52+G58+G61+G63+G65+G67+G71+G73+G76</f>
        <v>28013674.010000002</v>
      </c>
      <c r="H51" s="66">
        <f>H52+H61+H63+H65+H67+H71+H73</f>
        <v>4678798.0600000005</v>
      </c>
      <c r="I51" s="66">
        <f>I52+I61+I63+I65+I67+I71+I73</f>
        <v>3425000</v>
      </c>
    </row>
    <row r="52" spans="1:9" ht="25.5">
      <c r="A52" s="12" t="s">
        <v>47</v>
      </c>
      <c r="B52" s="13" t="s">
        <v>17</v>
      </c>
      <c r="C52" s="13" t="s">
        <v>19</v>
      </c>
      <c r="D52" s="13" t="s">
        <v>46</v>
      </c>
      <c r="E52" s="13" t="s">
        <v>48</v>
      </c>
      <c r="F52" s="13"/>
      <c r="G52" s="51">
        <f>G53+G54+G55+G56+G57</f>
        <v>26392049.530000001</v>
      </c>
      <c r="H52" s="51">
        <f>H53+H54+H55+H56</f>
        <v>3241998.0600000005</v>
      </c>
      <c r="I52" s="51">
        <f>I53+I54+I55+I56</f>
        <v>1980000</v>
      </c>
    </row>
    <row r="53" spans="1:9">
      <c r="A53" s="12" t="s">
        <v>49</v>
      </c>
      <c r="B53" s="13" t="s">
        <v>17</v>
      </c>
      <c r="C53" s="13" t="s">
        <v>19</v>
      </c>
      <c r="D53" s="13" t="s">
        <v>46</v>
      </c>
      <c r="E53" s="13" t="s">
        <v>48</v>
      </c>
      <c r="F53" s="13" t="s">
        <v>50</v>
      </c>
      <c r="G53" s="23">
        <f>5500000+4152738+134885+4500000</f>
        <v>14287623</v>
      </c>
      <c r="H53" s="23">
        <f>10256605+20000-448500-9163601.94</f>
        <v>664503.06000000052</v>
      </c>
      <c r="I53" s="23">
        <v>768049</v>
      </c>
    </row>
    <row r="54" spans="1:9" ht="38.25">
      <c r="A54" s="12" t="s">
        <v>51</v>
      </c>
      <c r="B54" s="13" t="s">
        <v>17</v>
      </c>
      <c r="C54" s="13" t="s">
        <v>19</v>
      </c>
      <c r="D54" s="13" t="s">
        <v>46</v>
      </c>
      <c r="E54" s="13" t="s">
        <v>48</v>
      </c>
      <c r="F54" s="13" t="s">
        <v>52</v>
      </c>
      <c r="G54" s="23">
        <f>1662400+1254127+40733.62+1756687</f>
        <v>4713947.62</v>
      </c>
      <c r="H54" s="23">
        <f>3097495-2700000</f>
        <v>397495</v>
      </c>
      <c r="I54" s="23">
        <v>231951</v>
      </c>
    </row>
    <row r="55" spans="1:9">
      <c r="A55" s="12" t="s">
        <v>37</v>
      </c>
      <c r="B55" s="13" t="s">
        <v>17</v>
      </c>
      <c r="C55" s="13" t="s">
        <v>19</v>
      </c>
      <c r="D55" s="13" t="s">
        <v>46</v>
      </c>
      <c r="E55" s="13" t="s">
        <v>48</v>
      </c>
      <c r="F55" s="13" t="s">
        <v>38</v>
      </c>
      <c r="G55" s="23">
        <f>2913077.2+175360+30500+226000+49713.8+83478+15250+20009+100000+22313.28+31500+436457.49+476780.83-220457.49+54320+23225+23500</f>
        <v>4461027.1099999994</v>
      </c>
      <c r="H55" s="23">
        <f>5176550-20000-1500000-1500000</f>
        <v>2156550</v>
      </c>
      <c r="I55" s="23">
        <v>0</v>
      </c>
    </row>
    <row r="56" spans="1:9">
      <c r="A56" s="12" t="s">
        <v>53</v>
      </c>
      <c r="B56" s="13" t="s">
        <v>17</v>
      </c>
      <c r="C56" s="13" t="s">
        <v>19</v>
      </c>
      <c r="D56" s="13" t="s">
        <v>46</v>
      </c>
      <c r="E56" s="13" t="s">
        <v>48</v>
      </c>
      <c r="F56" s="13" t="s">
        <v>54</v>
      </c>
      <c r="G56" s="23">
        <f>1586922.8+1316661</f>
        <v>2903583.8</v>
      </c>
      <c r="H56" s="23">
        <f>2323450-2300000</f>
        <v>23450</v>
      </c>
      <c r="I56" s="23">
        <v>980000</v>
      </c>
    </row>
    <row r="57" spans="1:9">
      <c r="A57" s="77" t="s">
        <v>394</v>
      </c>
      <c r="B57" s="63" t="s">
        <v>17</v>
      </c>
      <c r="C57" s="63" t="s">
        <v>19</v>
      </c>
      <c r="D57" s="63" t="s">
        <v>46</v>
      </c>
      <c r="E57" s="63" t="s">
        <v>48</v>
      </c>
      <c r="F57" s="63" t="s">
        <v>56</v>
      </c>
      <c r="G57" s="23">
        <f>20000+5868</f>
        <v>25868</v>
      </c>
      <c r="H57" s="23">
        <v>0</v>
      </c>
      <c r="I57" s="23">
        <v>0</v>
      </c>
    </row>
    <row r="58" spans="1:9" ht="77.25" customHeight="1">
      <c r="A58" s="34" t="s">
        <v>417</v>
      </c>
      <c r="B58" s="63" t="s">
        <v>17</v>
      </c>
      <c r="C58" s="63" t="s">
        <v>19</v>
      </c>
      <c r="D58" s="63" t="s">
        <v>46</v>
      </c>
      <c r="E58" s="63"/>
      <c r="F58" s="63"/>
      <c r="G58" s="51">
        <f>G59+G60</f>
        <v>83562.94</v>
      </c>
      <c r="H58" s="23">
        <v>0</v>
      </c>
      <c r="I58" s="23">
        <v>0</v>
      </c>
    </row>
    <row r="59" spans="1:9" ht="15.75" customHeight="1">
      <c r="A59" s="12" t="s">
        <v>49</v>
      </c>
      <c r="B59" s="63" t="s">
        <v>17</v>
      </c>
      <c r="C59" s="63" t="s">
        <v>19</v>
      </c>
      <c r="D59" s="63" t="s">
        <v>46</v>
      </c>
      <c r="E59" s="63" t="s">
        <v>418</v>
      </c>
      <c r="F59" s="63" t="s">
        <v>50</v>
      </c>
      <c r="G59" s="23">
        <v>64180.45</v>
      </c>
      <c r="H59" s="23">
        <v>0</v>
      </c>
      <c r="I59" s="23">
        <v>0</v>
      </c>
    </row>
    <row r="60" spans="1:9" ht="39.75" customHeight="1">
      <c r="A60" s="12" t="s">
        <v>51</v>
      </c>
      <c r="B60" s="63" t="s">
        <v>17</v>
      </c>
      <c r="C60" s="63" t="s">
        <v>19</v>
      </c>
      <c r="D60" s="63" t="s">
        <v>46</v>
      </c>
      <c r="E60" s="63" t="s">
        <v>418</v>
      </c>
      <c r="F60" s="63" t="s">
        <v>52</v>
      </c>
      <c r="G60" s="23">
        <v>19382.490000000002</v>
      </c>
      <c r="H60" s="23">
        <v>0</v>
      </c>
      <c r="I60" s="23">
        <v>0</v>
      </c>
    </row>
    <row r="61" spans="1:9" ht="27.75" customHeight="1">
      <c r="A61" s="12" t="s">
        <v>57</v>
      </c>
      <c r="B61" s="13" t="s">
        <v>17</v>
      </c>
      <c r="C61" s="13" t="s">
        <v>19</v>
      </c>
      <c r="D61" s="13" t="s">
        <v>46</v>
      </c>
      <c r="E61" s="13" t="s">
        <v>58</v>
      </c>
      <c r="F61" s="13"/>
      <c r="G61" s="51">
        <f>G62</f>
        <v>920000</v>
      </c>
      <c r="H61" s="51">
        <f>H62</f>
        <v>920000</v>
      </c>
      <c r="I61" s="51">
        <f>I62</f>
        <v>920000</v>
      </c>
    </row>
    <row r="62" spans="1:9">
      <c r="A62" s="12" t="s">
        <v>37</v>
      </c>
      <c r="B62" s="13" t="s">
        <v>17</v>
      </c>
      <c r="C62" s="13" t="s">
        <v>19</v>
      </c>
      <c r="D62" s="13" t="s">
        <v>46</v>
      </c>
      <c r="E62" s="13" t="s">
        <v>58</v>
      </c>
      <c r="F62" s="13" t="s">
        <v>38</v>
      </c>
      <c r="G62" s="23">
        <v>920000</v>
      </c>
      <c r="H62" s="23">
        <v>920000</v>
      </c>
      <c r="I62" s="23">
        <v>920000</v>
      </c>
    </row>
    <row r="63" spans="1:9" ht="25.5">
      <c r="A63" s="12" t="s">
        <v>59</v>
      </c>
      <c r="B63" s="13" t="s">
        <v>17</v>
      </c>
      <c r="C63" s="13" t="s">
        <v>19</v>
      </c>
      <c r="D63" s="13" t="s">
        <v>46</v>
      </c>
      <c r="E63" s="13" t="s">
        <v>60</v>
      </c>
      <c r="F63" s="13"/>
      <c r="G63" s="51">
        <v>30000</v>
      </c>
      <c r="H63" s="51">
        <v>30000</v>
      </c>
      <c r="I63" s="51">
        <v>30000</v>
      </c>
    </row>
    <row r="64" spans="1:9">
      <c r="A64" s="12" t="s">
        <v>37</v>
      </c>
      <c r="B64" s="13" t="s">
        <v>17</v>
      </c>
      <c r="C64" s="13" t="s">
        <v>19</v>
      </c>
      <c r="D64" s="13" t="s">
        <v>46</v>
      </c>
      <c r="E64" s="13" t="s">
        <v>60</v>
      </c>
      <c r="F64" s="13" t="s">
        <v>38</v>
      </c>
      <c r="G64" s="23">
        <v>30000</v>
      </c>
      <c r="H64" s="23">
        <v>30000</v>
      </c>
      <c r="I64" s="23">
        <v>30000</v>
      </c>
    </row>
    <row r="65" spans="1:9" ht="63.75">
      <c r="A65" s="12" t="s">
        <v>61</v>
      </c>
      <c r="B65" s="13" t="s">
        <v>17</v>
      </c>
      <c r="C65" s="13" t="s">
        <v>19</v>
      </c>
      <c r="D65" s="13" t="s">
        <v>46</v>
      </c>
      <c r="E65" s="13" t="s">
        <v>62</v>
      </c>
      <c r="F65" s="13"/>
      <c r="G65" s="51">
        <f>G66</f>
        <v>200</v>
      </c>
      <c r="H65" s="51">
        <f>H66</f>
        <v>200</v>
      </c>
      <c r="I65" s="51">
        <f>I66</f>
        <v>200</v>
      </c>
    </row>
    <row r="66" spans="1:9">
      <c r="A66" s="12" t="s">
        <v>37</v>
      </c>
      <c r="B66" s="13" t="s">
        <v>17</v>
      </c>
      <c r="C66" s="13" t="s">
        <v>19</v>
      </c>
      <c r="D66" s="13" t="s">
        <v>46</v>
      </c>
      <c r="E66" s="13" t="s">
        <v>62</v>
      </c>
      <c r="F66" s="13" t="s">
        <v>38</v>
      </c>
      <c r="G66" s="23">
        <v>200</v>
      </c>
      <c r="H66" s="23">
        <v>200</v>
      </c>
      <c r="I66" s="23">
        <v>200</v>
      </c>
    </row>
    <row r="67" spans="1:9" ht="38.25">
      <c r="A67" s="12" t="s">
        <v>63</v>
      </c>
      <c r="B67" s="13" t="s">
        <v>17</v>
      </c>
      <c r="C67" s="13" t="s">
        <v>19</v>
      </c>
      <c r="D67" s="13" t="s">
        <v>46</v>
      </c>
      <c r="E67" s="13" t="s">
        <v>64</v>
      </c>
      <c r="F67" s="13"/>
      <c r="G67" s="51">
        <f>G68+G69+G70</f>
        <v>115200</v>
      </c>
      <c r="H67" s="51">
        <f>H68+H69+H70</f>
        <v>120900</v>
      </c>
      <c r="I67" s="51">
        <f>I68+I69+I70</f>
        <v>120900</v>
      </c>
    </row>
    <row r="68" spans="1:9" ht="25.5">
      <c r="A68" s="12" t="s">
        <v>23</v>
      </c>
      <c r="B68" s="13" t="s">
        <v>17</v>
      </c>
      <c r="C68" s="13" t="s">
        <v>19</v>
      </c>
      <c r="D68" s="13" t="s">
        <v>46</v>
      </c>
      <c r="E68" s="13" t="s">
        <v>64</v>
      </c>
      <c r="F68" s="13" t="s">
        <v>24</v>
      </c>
      <c r="G68" s="23">
        <v>65000</v>
      </c>
      <c r="H68" s="23">
        <v>68400</v>
      </c>
      <c r="I68" s="23">
        <v>68400</v>
      </c>
    </row>
    <row r="69" spans="1:9" ht="38.25">
      <c r="A69" s="12" t="s">
        <v>25</v>
      </c>
      <c r="B69" s="13" t="s">
        <v>17</v>
      </c>
      <c r="C69" s="13" t="s">
        <v>19</v>
      </c>
      <c r="D69" s="13" t="s">
        <v>46</v>
      </c>
      <c r="E69" s="13" t="s">
        <v>64</v>
      </c>
      <c r="F69" s="13" t="s">
        <v>26</v>
      </c>
      <c r="G69" s="23">
        <v>20000</v>
      </c>
      <c r="H69" s="23">
        <v>20600</v>
      </c>
      <c r="I69" s="23">
        <v>20600</v>
      </c>
    </row>
    <row r="70" spans="1:9">
      <c r="A70" s="12" t="s">
        <v>37</v>
      </c>
      <c r="B70" s="13" t="s">
        <v>17</v>
      </c>
      <c r="C70" s="13" t="s">
        <v>19</v>
      </c>
      <c r="D70" s="13" t="s">
        <v>46</v>
      </c>
      <c r="E70" s="13" t="s">
        <v>64</v>
      </c>
      <c r="F70" s="13" t="s">
        <v>38</v>
      </c>
      <c r="G70" s="23">
        <v>30200</v>
      </c>
      <c r="H70" s="23">
        <v>31900</v>
      </c>
      <c r="I70" s="23">
        <v>31900</v>
      </c>
    </row>
    <row r="71" spans="1:9">
      <c r="A71" s="12" t="s">
        <v>65</v>
      </c>
      <c r="B71" s="13" t="s">
        <v>17</v>
      </c>
      <c r="C71" s="13" t="s">
        <v>19</v>
      </c>
      <c r="D71" s="13" t="s">
        <v>46</v>
      </c>
      <c r="E71" s="13" t="s">
        <v>66</v>
      </c>
      <c r="F71" s="13"/>
      <c r="G71" s="51">
        <f>G72</f>
        <v>50000</v>
      </c>
      <c r="H71" s="51">
        <f>H72</f>
        <v>50000</v>
      </c>
      <c r="I71" s="51">
        <f>I72</f>
        <v>50000</v>
      </c>
    </row>
    <row r="72" spans="1:9">
      <c r="A72" s="12" t="s">
        <v>37</v>
      </c>
      <c r="B72" s="13" t="s">
        <v>17</v>
      </c>
      <c r="C72" s="13" t="s">
        <v>19</v>
      </c>
      <c r="D72" s="13" t="s">
        <v>46</v>
      </c>
      <c r="E72" s="13" t="s">
        <v>66</v>
      </c>
      <c r="F72" s="13" t="s">
        <v>38</v>
      </c>
      <c r="G72" s="23">
        <v>50000</v>
      </c>
      <c r="H72" s="23">
        <v>50000</v>
      </c>
      <c r="I72" s="23">
        <v>50000</v>
      </c>
    </row>
    <row r="73" spans="1:9" ht="51">
      <c r="A73" s="12" t="s">
        <v>67</v>
      </c>
      <c r="B73" s="13" t="s">
        <v>17</v>
      </c>
      <c r="C73" s="13" t="s">
        <v>19</v>
      </c>
      <c r="D73" s="13" t="s">
        <v>46</v>
      </c>
      <c r="E73" s="13" t="s">
        <v>68</v>
      </c>
      <c r="F73" s="13"/>
      <c r="G73" s="51">
        <f>G74+G75</f>
        <v>176500</v>
      </c>
      <c r="H73" s="51">
        <f>H74+H75</f>
        <v>315700</v>
      </c>
      <c r="I73" s="51">
        <f>I74+I75</f>
        <v>323900</v>
      </c>
    </row>
    <row r="74" spans="1:9" ht="38.25">
      <c r="A74" s="12" t="s">
        <v>69</v>
      </c>
      <c r="B74" s="13" t="s">
        <v>17</v>
      </c>
      <c r="C74" s="13" t="s">
        <v>19</v>
      </c>
      <c r="D74" s="13" t="s">
        <v>46</v>
      </c>
      <c r="E74" s="13" t="s">
        <v>68</v>
      </c>
      <c r="F74" s="13" t="s">
        <v>70</v>
      </c>
      <c r="G74" s="23">
        <v>101000</v>
      </c>
      <c r="H74" s="23">
        <v>110800</v>
      </c>
      <c r="I74" s="23">
        <v>110800</v>
      </c>
    </row>
    <row r="75" spans="1:9">
      <c r="A75" s="12" t="s">
        <v>37</v>
      </c>
      <c r="B75" s="13" t="s">
        <v>17</v>
      </c>
      <c r="C75" s="13" t="s">
        <v>19</v>
      </c>
      <c r="D75" s="13" t="s">
        <v>46</v>
      </c>
      <c r="E75" s="13" t="s">
        <v>68</v>
      </c>
      <c r="F75" s="13" t="s">
        <v>38</v>
      </c>
      <c r="G75" s="23">
        <f>98500-23000</f>
        <v>75500</v>
      </c>
      <c r="H75" s="23">
        <v>204900</v>
      </c>
      <c r="I75" s="23">
        <v>213100</v>
      </c>
    </row>
    <row r="76" spans="1:9">
      <c r="A76" s="12" t="s">
        <v>376</v>
      </c>
      <c r="B76" s="63" t="s">
        <v>17</v>
      </c>
      <c r="C76" s="63" t="s">
        <v>19</v>
      </c>
      <c r="D76" s="63" t="s">
        <v>46</v>
      </c>
      <c r="E76" s="63" t="s">
        <v>391</v>
      </c>
      <c r="F76" s="63"/>
      <c r="G76" s="51">
        <f>G77</f>
        <v>246161.54000000004</v>
      </c>
      <c r="H76" s="23">
        <v>0</v>
      </c>
      <c r="I76" s="23">
        <v>0</v>
      </c>
    </row>
    <row r="77" spans="1:9">
      <c r="A77" s="12" t="s">
        <v>376</v>
      </c>
      <c r="B77" s="63" t="s">
        <v>17</v>
      </c>
      <c r="C77" s="63" t="s">
        <v>19</v>
      </c>
      <c r="D77" s="63" t="s">
        <v>46</v>
      </c>
      <c r="E77" s="63" t="s">
        <v>391</v>
      </c>
      <c r="F77" s="63" t="s">
        <v>392</v>
      </c>
      <c r="G77" s="23">
        <f>134649.45+54053.2+1300+56158.89</f>
        <v>246161.54000000004</v>
      </c>
      <c r="H77" s="23">
        <v>0</v>
      </c>
      <c r="I77" s="23">
        <v>0</v>
      </c>
    </row>
    <row r="78" spans="1:9">
      <c r="A78" s="12" t="s">
        <v>71</v>
      </c>
      <c r="B78" s="13" t="s">
        <v>17</v>
      </c>
      <c r="C78" s="13" t="s">
        <v>20</v>
      </c>
      <c r="D78" s="13" t="s">
        <v>72</v>
      </c>
      <c r="E78" s="55"/>
      <c r="F78" s="13"/>
      <c r="G78" s="51">
        <f>G79</f>
        <v>336400</v>
      </c>
      <c r="H78" s="51">
        <f>H79</f>
        <v>351400</v>
      </c>
      <c r="I78" s="65">
        <f>I79</f>
        <v>363600</v>
      </c>
    </row>
    <row r="79" spans="1:9" ht="25.5">
      <c r="A79" s="12" t="s">
        <v>73</v>
      </c>
      <c r="B79" s="13" t="s">
        <v>17</v>
      </c>
      <c r="C79" s="13" t="s">
        <v>20</v>
      </c>
      <c r="D79" s="13" t="s">
        <v>72</v>
      </c>
      <c r="E79" s="13" t="s">
        <v>74</v>
      </c>
      <c r="F79" s="13"/>
      <c r="G79" s="23">
        <f>G80+G81+G82</f>
        <v>336400</v>
      </c>
      <c r="H79" s="23">
        <f>H80+H81+H82</f>
        <v>351400</v>
      </c>
      <c r="I79" s="23">
        <f>I80+I81+I82</f>
        <v>363600</v>
      </c>
    </row>
    <row r="80" spans="1:9" ht="25.5">
      <c r="A80" s="12" t="s">
        <v>23</v>
      </c>
      <c r="B80" s="13" t="s">
        <v>17</v>
      </c>
      <c r="C80" s="13" t="s">
        <v>20</v>
      </c>
      <c r="D80" s="13" t="s">
        <v>72</v>
      </c>
      <c r="E80" s="13" t="s">
        <v>74</v>
      </c>
      <c r="F80" s="13" t="s">
        <v>24</v>
      </c>
      <c r="G80" s="23">
        <v>236704.4</v>
      </c>
      <c r="H80" s="23">
        <v>248685.6</v>
      </c>
      <c r="I80" s="23">
        <v>248685.6</v>
      </c>
    </row>
    <row r="81" spans="1:9" ht="38.25">
      <c r="A81" s="12" t="s">
        <v>25</v>
      </c>
      <c r="B81" s="13" t="s">
        <v>17</v>
      </c>
      <c r="C81" s="13" t="s">
        <v>20</v>
      </c>
      <c r="D81" s="13" t="s">
        <v>72</v>
      </c>
      <c r="E81" s="13" t="s">
        <v>74</v>
      </c>
      <c r="F81" s="13" t="s">
        <v>26</v>
      </c>
      <c r="G81" s="23">
        <v>72095.600000000006</v>
      </c>
      <c r="H81" s="23">
        <v>75914.399999999994</v>
      </c>
      <c r="I81" s="23">
        <v>75914.399999999994</v>
      </c>
    </row>
    <row r="82" spans="1:9">
      <c r="A82" s="12" t="s">
        <v>37</v>
      </c>
      <c r="B82" s="13" t="s">
        <v>17</v>
      </c>
      <c r="C82" s="13" t="s">
        <v>20</v>
      </c>
      <c r="D82" s="13" t="s">
        <v>72</v>
      </c>
      <c r="E82" s="13" t="s">
        <v>74</v>
      </c>
      <c r="F82" s="13" t="s">
        <v>38</v>
      </c>
      <c r="G82" s="23">
        <v>27600</v>
      </c>
      <c r="H82" s="23">
        <v>26800</v>
      </c>
      <c r="I82" s="23">
        <v>39000</v>
      </c>
    </row>
    <row r="83" spans="1:9">
      <c r="A83" s="12" t="s">
        <v>75</v>
      </c>
      <c r="B83" s="13" t="s">
        <v>17</v>
      </c>
      <c r="C83" s="13" t="s">
        <v>72</v>
      </c>
      <c r="D83" s="13" t="s">
        <v>76</v>
      </c>
      <c r="E83" s="13"/>
      <c r="F83" s="13"/>
      <c r="G83" s="51">
        <f>G84+G86+G88</f>
        <v>432801.3</v>
      </c>
      <c r="H83" s="51">
        <f t="shared" ref="H83:I84" si="2">H84</f>
        <v>370100</v>
      </c>
      <c r="I83" s="65">
        <f t="shared" si="2"/>
        <v>370100</v>
      </c>
    </row>
    <row r="84" spans="1:9" ht="25.5">
      <c r="A84" s="12" t="s">
        <v>79</v>
      </c>
      <c r="B84" s="13" t="s">
        <v>17</v>
      </c>
      <c r="C84" s="13" t="s">
        <v>72</v>
      </c>
      <c r="D84" s="13" t="s">
        <v>76</v>
      </c>
      <c r="E84" s="13" t="s">
        <v>80</v>
      </c>
      <c r="F84" s="13"/>
      <c r="G84" s="51">
        <f>G85</f>
        <v>350369.3</v>
      </c>
      <c r="H84" s="51">
        <f t="shared" si="2"/>
        <v>370100</v>
      </c>
      <c r="I84" s="51">
        <f t="shared" si="2"/>
        <v>370100</v>
      </c>
    </row>
    <row r="85" spans="1:9">
      <c r="A85" s="12" t="s">
        <v>37</v>
      </c>
      <c r="B85" s="13" t="s">
        <v>17</v>
      </c>
      <c r="C85" s="13" t="s">
        <v>72</v>
      </c>
      <c r="D85" s="13" t="s">
        <v>76</v>
      </c>
      <c r="E85" s="13" t="s">
        <v>80</v>
      </c>
      <c r="F85" s="13" t="s">
        <v>38</v>
      </c>
      <c r="G85" s="23">
        <f>370100-19730.7</f>
        <v>350369.3</v>
      </c>
      <c r="H85" s="23">
        <v>370100</v>
      </c>
      <c r="I85" s="23">
        <v>370100</v>
      </c>
    </row>
    <row r="86" spans="1:9" ht="38.25">
      <c r="A86" s="12" t="s">
        <v>361</v>
      </c>
      <c r="B86" s="63" t="s">
        <v>17</v>
      </c>
      <c r="C86" s="63" t="s">
        <v>72</v>
      </c>
      <c r="D86" s="63" t="s">
        <v>76</v>
      </c>
      <c r="E86" s="63" t="s">
        <v>362</v>
      </c>
      <c r="F86" s="63"/>
      <c r="G86" s="51">
        <f>G87</f>
        <v>69216</v>
      </c>
      <c r="H86" s="51">
        <f>H87</f>
        <v>0</v>
      </c>
      <c r="I86" s="51">
        <f>I87</f>
        <v>0</v>
      </c>
    </row>
    <row r="87" spans="1:9">
      <c r="A87" s="12" t="s">
        <v>37</v>
      </c>
      <c r="B87" s="63" t="s">
        <v>17</v>
      </c>
      <c r="C87" s="63" t="s">
        <v>72</v>
      </c>
      <c r="D87" s="63" t="s">
        <v>76</v>
      </c>
      <c r="E87" s="63" t="s">
        <v>362</v>
      </c>
      <c r="F87" s="63" t="s">
        <v>38</v>
      </c>
      <c r="G87" s="23">
        <v>69216</v>
      </c>
      <c r="H87" s="23">
        <v>0</v>
      </c>
      <c r="I87" s="23">
        <v>0</v>
      </c>
    </row>
    <row r="88" spans="1:9">
      <c r="A88" s="12" t="s">
        <v>363</v>
      </c>
      <c r="B88" s="63" t="s">
        <v>17</v>
      </c>
      <c r="C88" s="63" t="s">
        <v>72</v>
      </c>
      <c r="D88" s="63" t="s">
        <v>76</v>
      </c>
      <c r="E88" s="43" t="s">
        <v>395</v>
      </c>
      <c r="F88" s="63"/>
      <c r="G88" s="51">
        <f>G89</f>
        <v>13216</v>
      </c>
      <c r="H88" s="51">
        <f>H89</f>
        <v>0</v>
      </c>
      <c r="I88" s="51">
        <f>I89</f>
        <v>0</v>
      </c>
    </row>
    <row r="89" spans="1:9">
      <c r="A89" s="12" t="s">
        <v>37</v>
      </c>
      <c r="B89" s="63" t="s">
        <v>17</v>
      </c>
      <c r="C89" s="63" t="s">
        <v>72</v>
      </c>
      <c r="D89" s="63" t="s">
        <v>76</v>
      </c>
      <c r="E89" s="43" t="s">
        <v>395</v>
      </c>
      <c r="F89" s="63" t="s">
        <v>38</v>
      </c>
      <c r="G89" s="23">
        <v>13216</v>
      </c>
      <c r="H89" s="23">
        <v>0</v>
      </c>
      <c r="I89" s="23">
        <v>0</v>
      </c>
    </row>
    <row r="90" spans="1:9" ht="38.25">
      <c r="A90" s="12" t="s">
        <v>81</v>
      </c>
      <c r="B90" s="13" t="s">
        <v>17</v>
      </c>
      <c r="C90" s="13" t="s">
        <v>72</v>
      </c>
      <c r="D90" s="13" t="s">
        <v>82</v>
      </c>
      <c r="E90" s="13"/>
      <c r="F90" s="13"/>
      <c r="G90" s="51">
        <f>G91+G96+G99+G101+G103+G105+G107</f>
        <v>23990450.280000001</v>
      </c>
      <c r="H90" s="51">
        <f>H91+H99+H101+H103+H105</f>
        <v>12920600</v>
      </c>
      <c r="I90" s="65">
        <f>I91+I99+I101+I103+I105</f>
        <v>12921600</v>
      </c>
    </row>
    <row r="91" spans="1:9" ht="38.25">
      <c r="A91" s="12" t="s">
        <v>77</v>
      </c>
      <c r="B91" s="13" t="s">
        <v>17</v>
      </c>
      <c r="C91" s="13" t="s">
        <v>72</v>
      </c>
      <c r="D91" s="13" t="s">
        <v>82</v>
      </c>
      <c r="E91" s="13" t="s">
        <v>78</v>
      </c>
      <c r="F91" s="30"/>
      <c r="G91" s="64">
        <f>G92+G93+G94+G95</f>
        <v>7346418.4900000002</v>
      </c>
      <c r="H91" s="64">
        <f>H92+H93+H94+H95</f>
        <v>7321600</v>
      </c>
      <c r="I91" s="64">
        <f>I92+I93+I94+I95</f>
        <v>7321600</v>
      </c>
    </row>
    <row r="92" spans="1:9">
      <c r="A92" s="12" t="s">
        <v>49</v>
      </c>
      <c r="B92" s="13" t="s">
        <v>17</v>
      </c>
      <c r="C92" s="13" t="s">
        <v>72</v>
      </c>
      <c r="D92" s="13" t="s">
        <v>82</v>
      </c>
      <c r="E92" s="13" t="s">
        <v>78</v>
      </c>
      <c r="F92" s="13" t="s">
        <v>50</v>
      </c>
      <c r="G92" s="23">
        <f>4954685-500000</f>
        <v>4454685</v>
      </c>
      <c r="H92" s="25">
        <v>5232040</v>
      </c>
      <c r="I92" s="25">
        <v>5213306</v>
      </c>
    </row>
    <row r="93" spans="1:9" ht="24.75" customHeight="1">
      <c r="A93" s="33" t="s">
        <v>333</v>
      </c>
      <c r="B93" s="39" t="s">
        <v>17</v>
      </c>
      <c r="C93" s="39" t="s">
        <v>72</v>
      </c>
      <c r="D93" s="39" t="s">
        <v>82</v>
      </c>
      <c r="E93" s="39" t="s">
        <v>78</v>
      </c>
      <c r="F93" s="39" t="s">
        <v>332</v>
      </c>
      <c r="G93" s="23">
        <v>146000</v>
      </c>
      <c r="H93" s="25">
        <v>48784</v>
      </c>
      <c r="I93" s="25">
        <v>73176</v>
      </c>
    </row>
    <row r="94" spans="1:9" ht="38.25">
      <c r="A94" s="12" t="s">
        <v>51</v>
      </c>
      <c r="B94" s="13" t="s">
        <v>17</v>
      </c>
      <c r="C94" s="13" t="s">
        <v>72</v>
      </c>
      <c r="D94" s="13" t="s">
        <v>82</v>
      </c>
      <c r="E94" s="13" t="s">
        <v>78</v>
      </c>
      <c r="F94" s="13" t="s">
        <v>52</v>
      </c>
      <c r="G94" s="23">
        <v>1496315</v>
      </c>
      <c r="H94" s="23">
        <v>1580076</v>
      </c>
      <c r="I94" s="23">
        <v>1574418</v>
      </c>
    </row>
    <row r="95" spans="1:9">
      <c r="A95" s="12" t="s">
        <v>37</v>
      </c>
      <c r="B95" s="13" t="s">
        <v>17</v>
      </c>
      <c r="C95" s="13" t="s">
        <v>72</v>
      </c>
      <c r="D95" s="13" t="s">
        <v>82</v>
      </c>
      <c r="E95" s="13" t="s">
        <v>78</v>
      </c>
      <c r="F95" s="13" t="s">
        <v>38</v>
      </c>
      <c r="G95" s="24">
        <f>443000+500000+50005+6356+29600+220457.49</f>
        <v>1249418.49</v>
      </c>
      <c r="H95" s="25">
        <v>460700</v>
      </c>
      <c r="I95" s="25">
        <v>460700</v>
      </c>
    </row>
    <row r="96" spans="1:9" ht="78.75" customHeight="1">
      <c r="A96" s="34" t="s">
        <v>417</v>
      </c>
      <c r="B96" s="63" t="s">
        <v>17</v>
      </c>
      <c r="C96" s="63" t="s">
        <v>72</v>
      </c>
      <c r="D96" s="63" t="s">
        <v>82</v>
      </c>
      <c r="E96" s="63"/>
      <c r="F96" s="63"/>
      <c r="G96" s="64">
        <f>G97+G98</f>
        <v>21438.79</v>
      </c>
      <c r="H96" s="25">
        <v>0</v>
      </c>
      <c r="I96" s="25">
        <v>0</v>
      </c>
    </row>
    <row r="97" spans="1:9" ht="18" customHeight="1">
      <c r="A97" s="12" t="s">
        <v>49</v>
      </c>
      <c r="B97" s="63" t="s">
        <v>17</v>
      </c>
      <c r="C97" s="63" t="s">
        <v>72</v>
      </c>
      <c r="D97" s="63" t="s">
        <v>82</v>
      </c>
      <c r="E97" s="63" t="s">
        <v>419</v>
      </c>
      <c r="F97" s="63" t="s">
        <v>50</v>
      </c>
      <c r="G97" s="24">
        <v>16466</v>
      </c>
      <c r="H97" s="25">
        <v>0</v>
      </c>
      <c r="I97" s="25">
        <v>0</v>
      </c>
    </row>
    <row r="98" spans="1:9" ht="39" customHeight="1">
      <c r="A98" s="12" t="s">
        <v>51</v>
      </c>
      <c r="B98" s="63" t="s">
        <v>17</v>
      </c>
      <c r="C98" s="63" t="s">
        <v>72</v>
      </c>
      <c r="D98" s="63" t="s">
        <v>82</v>
      </c>
      <c r="E98" s="63" t="s">
        <v>419</v>
      </c>
      <c r="F98" s="63" t="s">
        <v>52</v>
      </c>
      <c r="G98" s="24">
        <v>4972.79</v>
      </c>
      <c r="H98" s="25">
        <v>0</v>
      </c>
      <c r="I98" s="25">
        <v>0</v>
      </c>
    </row>
    <row r="99" spans="1:9" ht="38.25">
      <c r="A99" s="12" t="s">
        <v>84</v>
      </c>
      <c r="B99" s="13" t="s">
        <v>17</v>
      </c>
      <c r="C99" s="13" t="s">
        <v>72</v>
      </c>
      <c r="D99" s="13" t="s">
        <v>82</v>
      </c>
      <c r="E99" s="38" t="s">
        <v>85</v>
      </c>
      <c r="F99" s="13"/>
      <c r="G99" s="51">
        <f>G100</f>
        <v>6873000</v>
      </c>
      <c r="H99" s="51">
        <f>H100</f>
        <v>5567100</v>
      </c>
      <c r="I99" s="51">
        <f>I100</f>
        <v>5567100</v>
      </c>
    </row>
    <row r="100" spans="1:9" ht="25.5">
      <c r="A100" s="12" t="s">
        <v>86</v>
      </c>
      <c r="B100" s="13" t="s">
        <v>17</v>
      </c>
      <c r="C100" s="13" t="s">
        <v>72</v>
      </c>
      <c r="D100" s="13" t="s">
        <v>82</v>
      </c>
      <c r="E100" s="13" t="s">
        <v>85</v>
      </c>
      <c r="F100" s="13" t="s">
        <v>87</v>
      </c>
      <c r="G100" s="23">
        <f>5353000+1520000</f>
        <v>6873000</v>
      </c>
      <c r="H100" s="23">
        <v>5567100</v>
      </c>
      <c r="I100" s="23">
        <v>5567100</v>
      </c>
    </row>
    <row r="101" spans="1:9" ht="25.5">
      <c r="A101" s="12" t="s">
        <v>88</v>
      </c>
      <c r="B101" s="13" t="s">
        <v>17</v>
      </c>
      <c r="C101" s="13" t="s">
        <v>72</v>
      </c>
      <c r="D101" s="13" t="s">
        <v>82</v>
      </c>
      <c r="E101" s="13" t="s">
        <v>89</v>
      </c>
      <c r="F101" s="13"/>
      <c r="G101" s="51">
        <f>G102</f>
        <v>24000</v>
      </c>
      <c r="H101" s="51">
        <f>H102</f>
        <v>31900</v>
      </c>
      <c r="I101" s="51">
        <f>I102</f>
        <v>32900</v>
      </c>
    </row>
    <row r="102" spans="1:9" ht="25.5">
      <c r="A102" s="12" t="s">
        <v>86</v>
      </c>
      <c r="B102" s="13" t="s">
        <v>17</v>
      </c>
      <c r="C102" s="13" t="s">
        <v>72</v>
      </c>
      <c r="D102" s="13" t="s">
        <v>82</v>
      </c>
      <c r="E102" s="13" t="s">
        <v>89</v>
      </c>
      <c r="F102" s="13" t="s">
        <v>87</v>
      </c>
      <c r="G102" s="23">
        <v>24000</v>
      </c>
      <c r="H102" s="23">
        <v>31900</v>
      </c>
      <c r="I102" s="23">
        <v>32900</v>
      </c>
    </row>
    <row r="103" spans="1:9" ht="25.5">
      <c r="A103" s="12" t="s">
        <v>90</v>
      </c>
      <c r="B103" s="13" t="s">
        <v>17</v>
      </c>
      <c r="C103" s="13" t="s">
        <v>72</v>
      </c>
      <c r="D103" s="13" t="s">
        <v>82</v>
      </c>
      <c r="E103" s="13" t="s">
        <v>91</v>
      </c>
      <c r="F103" s="13"/>
      <c r="G103" s="64">
        <f>G104</f>
        <v>271000</v>
      </c>
      <c r="H103" s="64">
        <f>H104</f>
        <v>0</v>
      </c>
      <c r="I103" s="64">
        <f>I104</f>
        <v>0</v>
      </c>
    </row>
    <row r="104" spans="1:9">
      <c r="A104" s="12" t="s">
        <v>37</v>
      </c>
      <c r="B104" s="13" t="s">
        <v>17</v>
      </c>
      <c r="C104" s="13" t="s">
        <v>72</v>
      </c>
      <c r="D104" s="13" t="s">
        <v>82</v>
      </c>
      <c r="E104" s="13" t="s">
        <v>91</v>
      </c>
      <c r="F104" s="13" t="s">
        <v>38</v>
      </c>
      <c r="G104" s="25">
        <f>231000+40000</f>
        <v>271000</v>
      </c>
      <c r="H104" s="23">
        <v>0</v>
      </c>
      <c r="I104" s="23">
        <v>0</v>
      </c>
    </row>
    <row r="105" spans="1:9" ht="25.5">
      <c r="A105" s="12" t="s">
        <v>92</v>
      </c>
      <c r="B105" s="13" t="s">
        <v>17</v>
      </c>
      <c r="C105" s="13" t="s">
        <v>72</v>
      </c>
      <c r="D105" s="13" t="s">
        <v>82</v>
      </c>
      <c r="E105" s="13" t="s">
        <v>93</v>
      </c>
      <c r="F105" s="13"/>
      <c r="G105" s="64">
        <f>G106</f>
        <v>184593</v>
      </c>
      <c r="H105" s="64">
        <f>H106</f>
        <v>0</v>
      </c>
      <c r="I105" s="64">
        <f>I106</f>
        <v>0</v>
      </c>
    </row>
    <row r="106" spans="1:9">
      <c r="A106" s="12" t="s">
        <v>37</v>
      </c>
      <c r="B106" s="13" t="s">
        <v>17</v>
      </c>
      <c r="C106" s="13" t="s">
        <v>72</v>
      </c>
      <c r="D106" s="13" t="s">
        <v>82</v>
      </c>
      <c r="E106" s="13" t="s">
        <v>93</v>
      </c>
      <c r="F106" s="13" t="s">
        <v>38</v>
      </c>
      <c r="G106" s="25">
        <f>127000-127000+127000+57593</f>
        <v>184593</v>
      </c>
      <c r="H106" s="23">
        <v>0</v>
      </c>
      <c r="I106" s="23">
        <v>0</v>
      </c>
    </row>
    <row r="107" spans="1:9" ht="25.5">
      <c r="A107" s="80" t="s">
        <v>402</v>
      </c>
      <c r="B107" s="63" t="s">
        <v>17</v>
      </c>
      <c r="C107" s="63" t="s">
        <v>72</v>
      </c>
      <c r="D107" s="63" t="s">
        <v>82</v>
      </c>
      <c r="E107" s="63" t="s">
        <v>403</v>
      </c>
      <c r="F107" s="63"/>
      <c r="G107" s="64">
        <f>G108+G109</f>
        <v>9270000</v>
      </c>
      <c r="H107" s="64">
        <f>H109</f>
        <v>0</v>
      </c>
      <c r="I107" s="64">
        <f>I109</f>
        <v>0</v>
      </c>
    </row>
    <row r="108" spans="1:9" ht="25.5">
      <c r="A108" s="80" t="s">
        <v>405</v>
      </c>
      <c r="B108" s="63" t="s">
        <v>17</v>
      </c>
      <c r="C108" s="63" t="s">
        <v>72</v>
      </c>
      <c r="D108" s="63" t="s">
        <v>82</v>
      </c>
      <c r="E108" s="63" t="s">
        <v>403</v>
      </c>
      <c r="F108" s="63" t="s">
        <v>38</v>
      </c>
      <c r="G108" s="25">
        <v>3000000</v>
      </c>
      <c r="H108" s="25">
        <v>0</v>
      </c>
      <c r="I108" s="25">
        <v>0</v>
      </c>
    </row>
    <row r="109" spans="1:9" ht="25.5">
      <c r="A109" s="12" t="s">
        <v>404</v>
      </c>
      <c r="B109" s="63" t="s">
        <v>17</v>
      </c>
      <c r="C109" s="63" t="s">
        <v>72</v>
      </c>
      <c r="D109" s="63" t="s">
        <v>82</v>
      </c>
      <c r="E109" s="63" t="s">
        <v>403</v>
      </c>
      <c r="F109" s="63" t="s">
        <v>247</v>
      </c>
      <c r="G109" s="24">
        <f>4510000+990000+100000+1000000-440000+110000</f>
        <v>6270000</v>
      </c>
      <c r="H109" s="25">
        <v>0</v>
      </c>
      <c r="I109" s="25">
        <v>0</v>
      </c>
    </row>
    <row r="110" spans="1:9">
      <c r="A110" s="12" t="s">
        <v>94</v>
      </c>
      <c r="B110" s="13" t="s">
        <v>17</v>
      </c>
      <c r="C110" s="13" t="s">
        <v>28</v>
      </c>
      <c r="D110" s="13" t="s">
        <v>34</v>
      </c>
      <c r="E110" s="13"/>
      <c r="F110" s="13"/>
      <c r="G110" s="51">
        <f>G111+G113+G115</f>
        <v>130300</v>
      </c>
      <c r="H110" s="51">
        <f>H111+H113+H115</f>
        <v>139400</v>
      </c>
      <c r="I110" s="65">
        <f>I111+I113+I115</f>
        <v>137400</v>
      </c>
    </row>
    <row r="111" spans="1:9" ht="25.5">
      <c r="A111" s="12" t="s">
        <v>95</v>
      </c>
      <c r="B111" s="13" t="s">
        <v>17</v>
      </c>
      <c r="C111" s="13" t="s">
        <v>28</v>
      </c>
      <c r="D111" s="13" t="s">
        <v>34</v>
      </c>
      <c r="E111" s="13" t="s">
        <v>96</v>
      </c>
      <c r="F111" s="13"/>
      <c r="G111" s="51">
        <f>G112</f>
        <v>8000</v>
      </c>
      <c r="H111" s="51">
        <f>H112</f>
        <v>10200</v>
      </c>
      <c r="I111" s="51">
        <f>I112</f>
        <v>10500</v>
      </c>
    </row>
    <row r="112" spans="1:9">
      <c r="A112" s="12" t="s">
        <v>37</v>
      </c>
      <c r="B112" s="13" t="s">
        <v>17</v>
      </c>
      <c r="C112" s="13" t="s">
        <v>28</v>
      </c>
      <c r="D112" s="13" t="s">
        <v>34</v>
      </c>
      <c r="E112" s="13" t="s">
        <v>96</v>
      </c>
      <c r="F112" s="13" t="s">
        <v>38</v>
      </c>
      <c r="G112" s="23">
        <f>8000</f>
        <v>8000</v>
      </c>
      <c r="H112" s="23">
        <v>10200</v>
      </c>
      <c r="I112" s="23">
        <v>10500</v>
      </c>
    </row>
    <row r="113" spans="1:9" ht="38.25">
      <c r="A113" s="12" t="s">
        <v>97</v>
      </c>
      <c r="B113" s="13" t="s">
        <v>17</v>
      </c>
      <c r="C113" s="13" t="s">
        <v>28</v>
      </c>
      <c r="D113" s="13" t="s">
        <v>34</v>
      </c>
      <c r="E113" s="13" t="s">
        <v>98</v>
      </c>
      <c r="F113" s="13"/>
      <c r="G113" s="51">
        <f>G114</f>
        <v>115800</v>
      </c>
      <c r="H113" s="51">
        <f>H114</f>
        <v>122700</v>
      </c>
      <c r="I113" s="51">
        <f>I114</f>
        <v>120400</v>
      </c>
    </row>
    <row r="114" spans="1:9">
      <c r="A114" s="12" t="s">
        <v>37</v>
      </c>
      <c r="B114" s="13" t="s">
        <v>17</v>
      </c>
      <c r="C114" s="13" t="s">
        <v>28</v>
      </c>
      <c r="D114" s="13" t="s">
        <v>34</v>
      </c>
      <c r="E114" s="13" t="s">
        <v>98</v>
      </c>
      <c r="F114" s="13" t="s">
        <v>38</v>
      </c>
      <c r="G114" s="23">
        <v>115800</v>
      </c>
      <c r="H114" s="23">
        <v>122700</v>
      </c>
      <c r="I114" s="23">
        <v>120400</v>
      </c>
    </row>
    <row r="115" spans="1:9" ht="38.25">
      <c r="A115" s="34" t="s">
        <v>323</v>
      </c>
      <c r="B115" s="22" t="s">
        <v>17</v>
      </c>
      <c r="C115" s="22" t="s">
        <v>28</v>
      </c>
      <c r="D115" s="22" t="s">
        <v>34</v>
      </c>
      <c r="E115" s="38" t="s">
        <v>328</v>
      </c>
      <c r="F115" s="22"/>
      <c r="G115" s="51">
        <f>G116</f>
        <v>6500</v>
      </c>
      <c r="H115" s="51">
        <f>H116</f>
        <v>6500</v>
      </c>
      <c r="I115" s="51">
        <f>I116</f>
        <v>6500</v>
      </c>
    </row>
    <row r="116" spans="1:9">
      <c r="A116" s="12" t="s">
        <v>37</v>
      </c>
      <c r="B116" s="22" t="s">
        <v>17</v>
      </c>
      <c r="C116" s="22" t="s">
        <v>28</v>
      </c>
      <c r="D116" s="22" t="s">
        <v>34</v>
      </c>
      <c r="E116" s="38" t="s">
        <v>328</v>
      </c>
      <c r="F116" s="22" t="s">
        <v>38</v>
      </c>
      <c r="G116" s="23">
        <v>6500</v>
      </c>
      <c r="H116" s="23">
        <v>6500</v>
      </c>
      <c r="I116" s="23">
        <v>6500</v>
      </c>
    </row>
    <row r="117" spans="1:9">
      <c r="A117" s="12" t="s">
        <v>99</v>
      </c>
      <c r="B117" s="13" t="s">
        <v>17</v>
      </c>
      <c r="C117" s="13" t="s">
        <v>28</v>
      </c>
      <c r="D117" s="13" t="s">
        <v>100</v>
      </c>
      <c r="E117" s="13"/>
      <c r="F117" s="13"/>
      <c r="G117" s="51">
        <f>G118</f>
        <v>30000</v>
      </c>
      <c r="H117" s="51">
        <f>H118</f>
        <v>0</v>
      </c>
      <c r="I117" s="65">
        <f>I118</f>
        <v>0</v>
      </c>
    </row>
    <row r="118" spans="1:9">
      <c r="A118" s="12" t="s">
        <v>101</v>
      </c>
      <c r="B118" s="13" t="s">
        <v>17</v>
      </c>
      <c r="C118" s="13" t="s">
        <v>28</v>
      </c>
      <c r="D118" s="13" t="s">
        <v>100</v>
      </c>
      <c r="E118" s="13" t="s">
        <v>102</v>
      </c>
      <c r="F118" s="13"/>
      <c r="G118" s="23">
        <f>G119</f>
        <v>30000</v>
      </c>
      <c r="H118" s="23">
        <v>0</v>
      </c>
      <c r="I118" s="23">
        <v>0</v>
      </c>
    </row>
    <row r="119" spans="1:9">
      <c r="A119" s="12" t="s">
        <v>37</v>
      </c>
      <c r="B119" s="13" t="s">
        <v>17</v>
      </c>
      <c r="C119" s="13" t="s">
        <v>28</v>
      </c>
      <c r="D119" s="13" t="s">
        <v>100</v>
      </c>
      <c r="E119" s="13" t="s">
        <v>102</v>
      </c>
      <c r="F119" s="13" t="s">
        <v>38</v>
      </c>
      <c r="G119" s="23">
        <f>30000-30000+30000</f>
        <v>30000</v>
      </c>
      <c r="H119" s="23">
        <v>0</v>
      </c>
      <c r="I119" s="23">
        <v>0</v>
      </c>
    </row>
    <row r="120" spans="1:9">
      <c r="A120" s="12" t="s">
        <v>103</v>
      </c>
      <c r="B120" s="13" t="s">
        <v>17</v>
      </c>
      <c r="C120" s="13" t="s">
        <v>28</v>
      </c>
      <c r="D120" s="13" t="s">
        <v>104</v>
      </c>
      <c r="E120" s="13"/>
      <c r="F120" s="13"/>
      <c r="G120" s="51">
        <f>G121+G123</f>
        <v>9835989.8300000001</v>
      </c>
      <c r="H120" s="51">
        <f>H121</f>
        <v>0</v>
      </c>
      <c r="I120" s="65">
        <f>I121</f>
        <v>0</v>
      </c>
    </row>
    <row r="121" spans="1:9" ht="38.25">
      <c r="A121" s="12" t="s">
        <v>105</v>
      </c>
      <c r="B121" s="13" t="s">
        <v>17</v>
      </c>
      <c r="C121" s="13" t="s">
        <v>28</v>
      </c>
      <c r="D121" s="13" t="s">
        <v>104</v>
      </c>
      <c r="E121" s="13" t="s">
        <v>106</v>
      </c>
      <c r="F121" s="13"/>
      <c r="G121" s="23">
        <f>G122</f>
        <v>6405000</v>
      </c>
      <c r="H121" s="23">
        <v>0</v>
      </c>
      <c r="I121" s="23">
        <v>0</v>
      </c>
    </row>
    <row r="122" spans="1:9" ht="51">
      <c r="A122" s="12" t="s">
        <v>107</v>
      </c>
      <c r="B122" s="13" t="s">
        <v>17</v>
      </c>
      <c r="C122" s="13" t="s">
        <v>28</v>
      </c>
      <c r="D122" s="13" t="s">
        <v>104</v>
      </c>
      <c r="E122" s="13" t="s">
        <v>106</v>
      </c>
      <c r="F122" s="13" t="s">
        <v>108</v>
      </c>
      <c r="G122" s="23">
        <f>4647660+757340+800000+200000</f>
        <v>6405000</v>
      </c>
      <c r="H122" s="23">
        <v>0</v>
      </c>
      <c r="I122" s="23">
        <v>0</v>
      </c>
    </row>
    <row r="123" spans="1:9" ht="63.75">
      <c r="A123" s="12" t="s">
        <v>384</v>
      </c>
      <c r="B123" s="63" t="s">
        <v>17</v>
      </c>
      <c r="C123" s="63" t="s">
        <v>28</v>
      </c>
      <c r="D123" s="63" t="s">
        <v>104</v>
      </c>
      <c r="E123" s="63" t="s">
        <v>385</v>
      </c>
      <c r="F123" s="63"/>
      <c r="G123" s="23">
        <f>4600000-1169010.17</f>
        <v>3430989.83</v>
      </c>
      <c r="H123" s="23">
        <v>0</v>
      </c>
      <c r="I123" s="23">
        <v>0</v>
      </c>
    </row>
    <row r="124" spans="1:9">
      <c r="A124" s="12" t="s">
        <v>37</v>
      </c>
      <c r="B124" s="63" t="s">
        <v>17</v>
      </c>
      <c r="C124" s="63" t="s">
        <v>28</v>
      </c>
      <c r="D124" s="63" t="s">
        <v>104</v>
      </c>
      <c r="E124" s="63" t="s">
        <v>385</v>
      </c>
      <c r="F124" s="63" t="s">
        <v>38</v>
      </c>
      <c r="G124" s="23">
        <f>4600000-1169010.17</f>
        <v>3430989.83</v>
      </c>
      <c r="H124" s="23">
        <v>0</v>
      </c>
      <c r="I124" s="23">
        <v>0</v>
      </c>
    </row>
    <row r="125" spans="1:9">
      <c r="A125" s="12" t="s">
        <v>109</v>
      </c>
      <c r="B125" s="13" t="s">
        <v>17</v>
      </c>
      <c r="C125" s="13" t="s">
        <v>28</v>
      </c>
      <c r="D125" s="13" t="s">
        <v>76</v>
      </c>
      <c r="E125" s="13"/>
      <c r="F125" s="13"/>
      <c r="G125" s="51">
        <f>G126+G128+G130+G132+G134+G136+G138</f>
        <v>55462774.200000003</v>
      </c>
      <c r="H125" s="51">
        <f>H126+H128+H130+H132+H134</f>
        <v>19760775.100000001</v>
      </c>
      <c r="I125" s="65">
        <f>I126+I128+I130+I132+I134</f>
        <v>22854911.100000001</v>
      </c>
    </row>
    <row r="126" spans="1:9" ht="38.25">
      <c r="A126" s="12" t="s">
        <v>110</v>
      </c>
      <c r="B126" s="13" t="s">
        <v>17</v>
      </c>
      <c r="C126" s="13" t="s">
        <v>28</v>
      </c>
      <c r="D126" s="13" t="s">
        <v>76</v>
      </c>
      <c r="E126" s="13" t="s">
        <v>111</v>
      </c>
      <c r="F126" s="13"/>
      <c r="G126" s="51">
        <f>G127</f>
        <v>13175190</v>
      </c>
      <c r="H126" s="51">
        <f>H127</f>
        <v>11845175.1</v>
      </c>
      <c r="I126" s="51">
        <f>I127</f>
        <v>11250750</v>
      </c>
    </row>
    <row r="127" spans="1:9">
      <c r="A127" s="12" t="s">
        <v>37</v>
      </c>
      <c r="B127" s="13" t="s">
        <v>17</v>
      </c>
      <c r="C127" s="13" t="s">
        <v>28</v>
      </c>
      <c r="D127" s="13" t="s">
        <v>76</v>
      </c>
      <c r="E127" s="13" t="s">
        <v>111</v>
      </c>
      <c r="F127" s="13" t="s">
        <v>38</v>
      </c>
      <c r="G127" s="25">
        <f>12894000+281190</f>
        <v>13175190</v>
      </c>
      <c r="H127" s="23">
        <v>11845175.1</v>
      </c>
      <c r="I127" s="23">
        <v>11250750</v>
      </c>
    </row>
    <row r="128" spans="1:9">
      <c r="A128" s="12" t="s">
        <v>393</v>
      </c>
      <c r="B128" s="13" t="s">
        <v>17</v>
      </c>
      <c r="C128" s="13" t="s">
        <v>28</v>
      </c>
      <c r="D128" s="13" t="s">
        <v>76</v>
      </c>
      <c r="E128" s="13" t="s">
        <v>112</v>
      </c>
      <c r="F128" s="13"/>
      <c r="G128" s="51">
        <f>G129</f>
        <v>50000</v>
      </c>
      <c r="H128" s="23">
        <v>0</v>
      </c>
      <c r="I128" s="23">
        <v>0</v>
      </c>
    </row>
    <row r="129" spans="1:11">
      <c r="A129" s="12" t="s">
        <v>37</v>
      </c>
      <c r="B129" s="13" t="s">
        <v>17</v>
      </c>
      <c r="C129" s="13" t="s">
        <v>28</v>
      </c>
      <c r="D129" s="13" t="s">
        <v>76</v>
      </c>
      <c r="E129" s="13" t="s">
        <v>112</v>
      </c>
      <c r="F129" s="13" t="s">
        <v>38</v>
      </c>
      <c r="G129" s="23">
        <v>50000</v>
      </c>
      <c r="H129" s="23">
        <v>0</v>
      </c>
      <c r="I129" s="23">
        <v>0</v>
      </c>
    </row>
    <row r="130" spans="1:11" ht="38.25">
      <c r="A130" s="12" t="s">
        <v>113</v>
      </c>
      <c r="B130" s="13" t="s">
        <v>17</v>
      </c>
      <c r="C130" s="46" t="s">
        <v>28</v>
      </c>
      <c r="D130" s="13" t="s">
        <v>76</v>
      </c>
      <c r="E130" s="13" t="s">
        <v>114</v>
      </c>
      <c r="F130" s="13"/>
      <c r="G130" s="51">
        <f>G131</f>
        <v>400000</v>
      </c>
      <c r="H130" s="51">
        <f>H131</f>
        <v>400000</v>
      </c>
      <c r="I130" s="23">
        <v>0</v>
      </c>
    </row>
    <row r="131" spans="1:11">
      <c r="A131" s="12" t="s">
        <v>37</v>
      </c>
      <c r="B131" s="13" t="s">
        <v>17</v>
      </c>
      <c r="C131" s="13" t="s">
        <v>28</v>
      </c>
      <c r="D131" s="13" t="s">
        <v>76</v>
      </c>
      <c r="E131" s="13" t="s">
        <v>114</v>
      </c>
      <c r="F131" s="13" t="s">
        <v>38</v>
      </c>
      <c r="G131" s="23">
        <v>400000</v>
      </c>
      <c r="H131" s="23">
        <v>400000</v>
      </c>
      <c r="I131" s="23">
        <v>0</v>
      </c>
    </row>
    <row r="132" spans="1:11" ht="63.75">
      <c r="A132" s="12" t="s">
        <v>115</v>
      </c>
      <c r="B132" s="13" t="s">
        <v>17</v>
      </c>
      <c r="C132" s="13" t="s">
        <v>28</v>
      </c>
      <c r="D132" s="13" t="s">
        <v>76</v>
      </c>
      <c r="E132" s="13" t="s">
        <v>116</v>
      </c>
      <c r="F132" s="13"/>
      <c r="G132" s="64">
        <f>G133</f>
        <v>9432499.1999999993</v>
      </c>
      <c r="H132" s="64">
        <f>H133</f>
        <v>6535600</v>
      </c>
      <c r="I132" s="64">
        <f>I133</f>
        <v>10624161.1</v>
      </c>
    </row>
    <row r="133" spans="1:11">
      <c r="A133" s="12" t="s">
        <v>37</v>
      </c>
      <c r="B133" s="13" t="s">
        <v>17</v>
      </c>
      <c r="C133" s="13" t="s">
        <v>28</v>
      </c>
      <c r="D133" s="13" t="s">
        <v>76</v>
      </c>
      <c r="E133" s="13" t="s">
        <v>116</v>
      </c>
      <c r="F133" s="13" t="s">
        <v>38</v>
      </c>
      <c r="G133" s="23">
        <f>5251774.2-350085-1209190+828000+100000+4812000</f>
        <v>9432499.1999999993</v>
      </c>
      <c r="H133" s="23">
        <v>6535600</v>
      </c>
      <c r="I133" s="23">
        <v>10624161.1</v>
      </c>
    </row>
    <row r="134" spans="1:11" ht="25.5">
      <c r="A134" s="12" t="s">
        <v>343</v>
      </c>
      <c r="B134" s="63" t="s">
        <v>17</v>
      </c>
      <c r="C134" s="63" t="s">
        <v>28</v>
      </c>
      <c r="D134" s="63" t="s">
        <v>76</v>
      </c>
      <c r="E134" s="63" t="s">
        <v>342</v>
      </c>
      <c r="F134" s="63"/>
      <c r="G134" s="51">
        <f>G135</f>
        <v>55000</v>
      </c>
      <c r="H134" s="51">
        <f>H135</f>
        <v>980000</v>
      </c>
      <c r="I134" s="51">
        <f>I135</f>
        <v>980000</v>
      </c>
    </row>
    <row r="135" spans="1:11">
      <c r="A135" s="12" t="s">
        <v>37</v>
      </c>
      <c r="B135" s="63" t="s">
        <v>17</v>
      </c>
      <c r="C135" s="63" t="s">
        <v>28</v>
      </c>
      <c r="D135" s="63" t="s">
        <v>76</v>
      </c>
      <c r="E135" s="63" t="s">
        <v>342</v>
      </c>
      <c r="F135" s="63" t="s">
        <v>38</v>
      </c>
      <c r="G135" s="23">
        <v>55000</v>
      </c>
      <c r="H135" s="23">
        <v>980000</v>
      </c>
      <c r="I135" s="23">
        <v>980000</v>
      </c>
    </row>
    <row r="136" spans="1:11" ht="51">
      <c r="A136" s="12" t="s">
        <v>412</v>
      </c>
      <c r="B136" s="63" t="s">
        <v>17</v>
      </c>
      <c r="C136" s="63" t="s">
        <v>28</v>
      </c>
      <c r="D136" s="63" t="s">
        <v>76</v>
      </c>
      <c r="E136" s="63" t="s">
        <v>411</v>
      </c>
      <c r="F136" s="63"/>
      <c r="G136" s="23">
        <v>32000000</v>
      </c>
      <c r="H136" s="23">
        <v>0</v>
      </c>
      <c r="I136" s="23">
        <v>0</v>
      </c>
    </row>
    <row r="137" spans="1:11">
      <c r="A137" s="12" t="s">
        <v>37</v>
      </c>
      <c r="B137" s="63" t="s">
        <v>17</v>
      </c>
      <c r="C137" s="63" t="s">
        <v>28</v>
      </c>
      <c r="D137" s="63" t="s">
        <v>76</v>
      </c>
      <c r="E137" s="74" t="s">
        <v>411</v>
      </c>
      <c r="F137" s="63" t="s">
        <v>38</v>
      </c>
      <c r="G137" s="20">
        <v>32000000</v>
      </c>
      <c r="H137" s="23">
        <v>0</v>
      </c>
      <c r="I137" s="23">
        <v>0</v>
      </c>
    </row>
    <row r="138" spans="1:11" ht="27" customHeight="1">
      <c r="A138" s="12" t="s">
        <v>400</v>
      </c>
      <c r="B138" s="63" t="s">
        <v>17</v>
      </c>
      <c r="C138" s="63" t="s">
        <v>28</v>
      </c>
      <c r="D138" s="63" t="s">
        <v>76</v>
      </c>
      <c r="E138" s="63" t="s">
        <v>401</v>
      </c>
      <c r="F138" s="63"/>
      <c r="G138" s="51">
        <f>G139</f>
        <v>350085</v>
      </c>
      <c r="H138" s="51">
        <f>H139</f>
        <v>0</v>
      </c>
      <c r="I138" s="51">
        <f>I139</f>
        <v>0</v>
      </c>
    </row>
    <row r="139" spans="1:11">
      <c r="A139" s="12" t="s">
        <v>37</v>
      </c>
      <c r="B139" s="63" t="s">
        <v>17</v>
      </c>
      <c r="C139" s="63" t="s">
        <v>28</v>
      </c>
      <c r="D139" s="63" t="s">
        <v>76</v>
      </c>
      <c r="E139" s="63" t="s">
        <v>401</v>
      </c>
      <c r="F139" s="63" t="s">
        <v>38</v>
      </c>
      <c r="G139" s="23">
        <v>350085</v>
      </c>
      <c r="H139" s="23">
        <v>0</v>
      </c>
      <c r="I139" s="23">
        <v>0</v>
      </c>
    </row>
    <row r="140" spans="1:11">
      <c r="A140" s="12" t="s">
        <v>117</v>
      </c>
      <c r="B140" s="13" t="s">
        <v>17</v>
      </c>
      <c r="C140" s="13" t="s">
        <v>28</v>
      </c>
      <c r="D140" s="13" t="s">
        <v>82</v>
      </c>
      <c r="E140" s="13"/>
      <c r="F140" s="13"/>
      <c r="G140" s="51">
        <f t="shared" ref="G140:I141" si="3">G141</f>
        <v>10000</v>
      </c>
      <c r="H140" s="51">
        <f t="shared" si="3"/>
        <v>10000</v>
      </c>
      <c r="I140" s="65">
        <f t="shared" si="3"/>
        <v>10000</v>
      </c>
    </row>
    <row r="141" spans="1:11" ht="51">
      <c r="A141" s="12" t="s">
        <v>120</v>
      </c>
      <c r="B141" s="13" t="s">
        <v>17</v>
      </c>
      <c r="C141" s="13" t="s">
        <v>28</v>
      </c>
      <c r="D141" s="13" t="s">
        <v>82</v>
      </c>
      <c r="E141" s="13" t="s">
        <v>121</v>
      </c>
      <c r="F141" s="13"/>
      <c r="G141" s="23">
        <f t="shared" si="3"/>
        <v>10000</v>
      </c>
      <c r="H141" s="23">
        <f t="shared" si="3"/>
        <v>10000</v>
      </c>
      <c r="I141" s="23">
        <f>I142</f>
        <v>10000</v>
      </c>
    </row>
    <row r="142" spans="1:11" ht="25.5">
      <c r="A142" s="12" t="s">
        <v>118</v>
      </c>
      <c r="B142" s="13" t="s">
        <v>17</v>
      </c>
      <c r="C142" s="13" t="s">
        <v>28</v>
      </c>
      <c r="D142" s="13" t="s">
        <v>82</v>
      </c>
      <c r="E142" s="13" t="s">
        <v>121</v>
      </c>
      <c r="F142" s="13" t="s">
        <v>119</v>
      </c>
      <c r="G142" s="23">
        <v>10000</v>
      </c>
      <c r="H142" s="23">
        <v>10000</v>
      </c>
      <c r="I142" s="23">
        <v>10000</v>
      </c>
    </row>
    <row r="143" spans="1:11">
      <c r="A143" s="12" t="s">
        <v>122</v>
      </c>
      <c r="B143" s="13" t="s">
        <v>17</v>
      </c>
      <c r="C143" s="13" t="s">
        <v>28</v>
      </c>
      <c r="D143" s="13" t="s">
        <v>123</v>
      </c>
      <c r="E143" s="13"/>
      <c r="F143" s="13"/>
      <c r="G143" s="64">
        <f>G144+G146+G148+G150+G152+G154+G156+G158+G160+G162+G164</f>
        <v>1834000</v>
      </c>
      <c r="H143" s="64">
        <f>H144+H146+H148+H150+H152+H156+H158+H160+H162+H164</f>
        <v>1500600</v>
      </c>
      <c r="I143" s="66">
        <f>I144+I146+I148+I150+I152+I156+I158+I160+I162+I164</f>
        <v>1117700</v>
      </c>
      <c r="K143" s="58"/>
    </row>
    <row r="144" spans="1:11" ht="25.5">
      <c r="A144" s="12" t="s">
        <v>124</v>
      </c>
      <c r="B144" s="13" t="s">
        <v>17</v>
      </c>
      <c r="C144" s="13" t="s">
        <v>28</v>
      </c>
      <c r="D144" s="13" t="s">
        <v>123</v>
      </c>
      <c r="E144" s="13" t="s">
        <v>125</v>
      </c>
      <c r="F144" s="13"/>
      <c r="G144" s="64">
        <f>G145</f>
        <v>258500</v>
      </c>
      <c r="H144" s="64">
        <f>H145</f>
        <v>320800</v>
      </c>
      <c r="I144" s="64">
        <f>I145</f>
        <v>309300</v>
      </c>
      <c r="K144" s="58"/>
    </row>
    <row r="145" spans="1:11">
      <c r="A145" s="12" t="s">
        <v>37</v>
      </c>
      <c r="B145" s="13" t="s">
        <v>17</v>
      </c>
      <c r="C145" s="13" t="s">
        <v>28</v>
      </c>
      <c r="D145" s="13" t="s">
        <v>123</v>
      </c>
      <c r="E145" s="13" t="s">
        <v>125</v>
      </c>
      <c r="F145" s="13" t="s">
        <v>38</v>
      </c>
      <c r="G145" s="25">
        <f>308500-50000</f>
        <v>258500</v>
      </c>
      <c r="H145" s="23">
        <v>320800</v>
      </c>
      <c r="I145" s="23">
        <v>309300</v>
      </c>
      <c r="K145" s="58"/>
    </row>
    <row r="146" spans="1:11" ht="38.25">
      <c r="A146" s="12" t="s">
        <v>126</v>
      </c>
      <c r="B146" s="13" t="s">
        <v>17</v>
      </c>
      <c r="C146" s="13" t="s">
        <v>28</v>
      </c>
      <c r="D146" s="13" t="s">
        <v>123</v>
      </c>
      <c r="E146" s="13" t="s">
        <v>127</v>
      </c>
      <c r="F146" s="13"/>
      <c r="G146" s="51">
        <f>G147</f>
        <v>150000</v>
      </c>
      <c r="H146" s="51">
        <f>H147</f>
        <v>124800</v>
      </c>
      <c r="I146" s="51">
        <f>I147</f>
        <v>129800</v>
      </c>
    </row>
    <row r="147" spans="1:11">
      <c r="A147" s="12" t="s">
        <v>37</v>
      </c>
      <c r="B147" s="13" t="s">
        <v>17</v>
      </c>
      <c r="C147" s="13" t="s">
        <v>28</v>
      </c>
      <c r="D147" s="13" t="s">
        <v>123</v>
      </c>
      <c r="E147" s="13" t="s">
        <v>127</v>
      </c>
      <c r="F147" s="13" t="s">
        <v>38</v>
      </c>
      <c r="G147" s="23">
        <f>120000-80434.35+110434.35</f>
        <v>150000</v>
      </c>
      <c r="H147" s="23">
        <v>124800</v>
      </c>
      <c r="I147" s="23">
        <v>129800</v>
      </c>
    </row>
    <row r="148" spans="1:11" ht="25.5">
      <c r="A148" s="12" t="s">
        <v>128</v>
      </c>
      <c r="B148" s="13" t="s">
        <v>17</v>
      </c>
      <c r="C148" s="13" t="s">
        <v>28</v>
      </c>
      <c r="D148" s="13" t="s">
        <v>123</v>
      </c>
      <c r="E148" s="13" t="s">
        <v>129</v>
      </c>
      <c r="F148" s="13"/>
      <c r="G148" s="51">
        <f>G149</f>
        <v>165000</v>
      </c>
      <c r="H148" s="51">
        <f>H149</f>
        <v>265200</v>
      </c>
      <c r="I148" s="51">
        <f>I149</f>
        <v>275800</v>
      </c>
    </row>
    <row r="149" spans="1:11">
      <c r="A149" s="12" t="s">
        <v>37</v>
      </c>
      <c r="B149" s="13" t="s">
        <v>17</v>
      </c>
      <c r="C149" s="13" t="s">
        <v>28</v>
      </c>
      <c r="D149" s="13" t="s">
        <v>123</v>
      </c>
      <c r="E149" s="13" t="s">
        <v>129</v>
      </c>
      <c r="F149" s="13" t="s">
        <v>38</v>
      </c>
      <c r="G149" s="23">
        <f>255000-90000</f>
        <v>165000</v>
      </c>
      <c r="H149" s="23">
        <v>265200</v>
      </c>
      <c r="I149" s="23">
        <v>275800</v>
      </c>
    </row>
    <row r="150" spans="1:11" ht="25.5">
      <c r="A150" s="12" t="s">
        <v>130</v>
      </c>
      <c r="B150" s="13" t="s">
        <v>17</v>
      </c>
      <c r="C150" s="13" t="s">
        <v>28</v>
      </c>
      <c r="D150" s="13" t="s">
        <v>123</v>
      </c>
      <c r="E150" s="13" t="s">
        <v>131</v>
      </c>
      <c r="F150" s="13"/>
      <c r="G150" s="51">
        <f>G151</f>
        <v>47200</v>
      </c>
      <c r="H150" s="51">
        <f>H151</f>
        <v>49000</v>
      </c>
      <c r="I150" s="51">
        <f>I151</f>
        <v>51000</v>
      </c>
    </row>
    <row r="151" spans="1:11">
      <c r="A151" s="12" t="s">
        <v>37</v>
      </c>
      <c r="B151" s="13" t="s">
        <v>17</v>
      </c>
      <c r="C151" s="13" t="s">
        <v>28</v>
      </c>
      <c r="D151" s="13" t="s">
        <v>123</v>
      </c>
      <c r="E151" s="13" t="s">
        <v>131</v>
      </c>
      <c r="F151" s="13" t="s">
        <v>38</v>
      </c>
      <c r="G151" s="23">
        <v>47200</v>
      </c>
      <c r="H151" s="23">
        <v>49000</v>
      </c>
      <c r="I151" s="23">
        <v>51000</v>
      </c>
    </row>
    <row r="152" spans="1:11" ht="51">
      <c r="A152" s="12" t="s">
        <v>132</v>
      </c>
      <c r="B152" s="13" t="s">
        <v>17</v>
      </c>
      <c r="C152" s="13" t="s">
        <v>28</v>
      </c>
      <c r="D152" s="13" t="s">
        <v>123</v>
      </c>
      <c r="E152" s="13" t="s">
        <v>133</v>
      </c>
      <c r="F152" s="13"/>
      <c r="G152" s="51">
        <f>G153</f>
        <v>240000</v>
      </c>
      <c r="H152" s="51">
        <f>H153</f>
        <v>249600</v>
      </c>
      <c r="I152" s="51">
        <f>I153</f>
        <v>259600</v>
      </c>
    </row>
    <row r="153" spans="1:11">
      <c r="A153" s="12" t="s">
        <v>37</v>
      </c>
      <c r="B153" s="13" t="s">
        <v>17</v>
      </c>
      <c r="C153" s="13" t="s">
        <v>28</v>
      </c>
      <c r="D153" s="13" t="s">
        <v>123</v>
      </c>
      <c r="E153" s="13" t="s">
        <v>133</v>
      </c>
      <c r="F153" s="13" t="s">
        <v>38</v>
      </c>
      <c r="G153" s="23">
        <v>240000</v>
      </c>
      <c r="H153" s="23">
        <v>249600</v>
      </c>
      <c r="I153" s="23">
        <v>259600</v>
      </c>
    </row>
    <row r="154" spans="1:11" ht="38.25">
      <c r="A154" s="12" t="s">
        <v>408</v>
      </c>
      <c r="B154" s="63" t="s">
        <v>17</v>
      </c>
      <c r="C154" s="63" t="s">
        <v>28</v>
      </c>
      <c r="D154" s="63" t="s">
        <v>123</v>
      </c>
      <c r="E154" s="63" t="s">
        <v>403</v>
      </c>
      <c r="F154" s="63"/>
      <c r="G154" s="51">
        <f>G155</f>
        <v>216000</v>
      </c>
      <c r="H154" s="51">
        <f>H155</f>
        <v>0</v>
      </c>
      <c r="I154" s="51">
        <f>I155</f>
        <v>0</v>
      </c>
    </row>
    <row r="155" spans="1:11">
      <c r="A155" s="12" t="s">
        <v>37</v>
      </c>
      <c r="B155" s="63" t="s">
        <v>17</v>
      </c>
      <c r="C155" s="63" t="s">
        <v>28</v>
      </c>
      <c r="D155" s="63" t="s">
        <v>123</v>
      </c>
      <c r="E155" s="63" t="s">
        <v>403</v>
      </c>
      <c r="F155" s="63" t="s">
        <v>38</v>
      </c>
      <c r="G155" s="23">
        <v>216000</v>
      </c>
      <c r="H155" s="23">
        <v>0</v>
      </c>
      <c r="I155" s="23">
        <v>0</v>
      </c>
    </row>
    <row r="156" spans="1:11" ht="51">
      <c r="A156" s="33" t="s">
        <v>315</v>
      </c>
      <c r="B156" s="13" t="s">
        <v>17</v>
      </c>
      <c r="C156" s="13" t="s">
        <v>28</v>
      </c>
      <c r="D156" s="13" t="s">
        <v>123</v>
      </c>
      <c r="E156" s="13" t="s">
        <v>134</v>
      </c>
      <c r="F156" s="13"/>
      <c r="G156" s="51">
        <f>G157</f>
        <v>62100</v>
      </c>
      <c r="H156" s="51">
        <f>H157</f>
        <v>62100</v>
      </c>
      <c r="I156" s="51">
        <f>I157</f>
        <v>64000</v>
      </c>
    </row>
    <row r="157" spans="1:11" ht="51">
      <c r="A157" s="12" t="s">
        <v>107</v>
      </c>
      <c r="B157" s="13" t="s">
        <v>17</v>
      </c>
      <c r="C157" s="13" t="s">
        <v>28</v>
      </c>
      <c r="D157" s="13" t="s">
        <v>123</v>
      </c>
      <c r="E157" s="13" t="s">
        <v>134</v>
      </c>
      <c r="F157" s="13" t="s">
        <v>108</v>
      </c>
      <c r="G157" s="23">
        <v>62100</v>
      </c>
      <c r="H157" s="23">
        <v>62100</v>
      </c>
      <c r="I157" s="23">
        <v>64000</v>
      </c>
    </row>
    <row r="158" spans="1:11" ht="38.25">
      <c r="A158" s="12" t="s">
        <v>135</v>
      </c>
      <c r="B158" s="13" t="s">
        <v>17</v>
      </c>
      <c r="C158" s="13" t="s">
        <v>28</v>
      </c>
      <c r="D158" s="13" t="s">
        <v>123</v>
      </c>
      <c r="E158" s="43" t="s">
        <v>360</v>
      </c>
      <c r="F158" s="13"/>
      <c r="G158" s="51">
        <f>G159</f>
        <v>273200</v>
      </c>
      <c r="H158" s="51">
        <f>H159</f>
        <v>402000</v>
      </c>
      <c r="I158" s="51">
        <f>I159</f>
        <v>0</v>
      </c>
    </row>
    <row r="159" spans="1:11">
      <c r="A159" s="12" t="s">
        <v>37</v>
      </c>
      <c r="B159" s="13" t="s">
        <v>17</v>
      </c>
      <c r="C159" s="13" t="s">
        <v>28</v>
      </c>
      <c r="D159" s="13" t="s">
        <v>123</v>
      </c>
      <c r="E159" s="43" t="s">
        <v>360</v>
      </c>
      <c r="F159" s="13" t="s">
        <v>38</v>
      </c>
      <c r="G159" s="23">
        <f>350000-76800</f>
        <v>273200</v>
      </c>
      <c r="H159" s="23">
        <v>402000</v>
      </c>
      <c r="I159" s="23">
        <v>0</v>
      </c>
    </row>
    <row r="160" spans="1:11" ht="25.5">
      <c r="A160" s="12" t="s">
        <v>136</v>
      </c>
      <c r="B160" s="13" t="s">
        <v>17</v>
      </c>
      <c r="C160" s="13" t="s">
        <v>28</v>
      </c>
      <c r="D160" s="13" t="s">
        <v>123</v>
      </c>
      <c r="E160" s="13" t="s">
        <v>137</v>
      </c>
      <c r="F160" s="13"/>
      <c r="G160" s="51">
        <f>G161</f>
        <v>0</v>
      </c>
      <c r="H160" s="51">
        <f>H161</f>
        <v>25000</v>
      </c>
      <c r="I160" s="51">
        <f>I161</f>
        <v>26000</v>
      </c>
    </row>
    <row r="161" spans="1:11">
      <c r="A161" s="12" t="s">
        <v>37</v>
      </c>
      <c r="B161" s="13" t="s">
        <v>17</v>
      </c>
      <c r="C161" s="13" t="s">
        <v>28</v>
      </c>
      <c r="D161" s="13" t="s">
        <v>123</v>
      </c>
      <c r="E161" s="13" t="s">
        <v>137</v>
      </c>
      <c r="F161" s="13" t="s">
        <v>38</v>
      </c>
      <c r="G161" s="23">
        <f>24000-24000</f>
        <v>0</v>
      </c>
      <c r="H161" s="23">
        <v>25000</v>
      </c>
      <c r="I161" s="23">
        <v>26000</v>
      </c>
    </row>
    <row r="162" spans="1:11" ht="102">
      <c r="A162" s="12" t="s">
        <v>138</v>
      </c>
      <c r="B162" s="13" t="s">
        <v>17</v>
      </c>
      <c r="C162" s="13" t="s">
        <v>28</v>
      </c>
      <c r="D162" s="13" t="s">
        <v>123</v>
      </c>
      <c r="E162" s="13" t="s">
        <v>139</v>
      </c>
      <c r="F162" s="13"/>
      <c r="G162" s="51">
        <f>G163</f>
        <v>420000</v>
      </c>
      <c r="H162" s="23">
        <v>0</v>
      </c>
      <c r="I162" s="23">
        <v>0</v>
      </c>
    </row>
    <row r="163" spans="1:11">
      <c r="A163" s="12" t="s">
        <v>37</v>
      </c>
      <c r="B163" s="13" t="s">
        <v>17</v>
      </c>
      <c r="C163" s="13" t="s">
        <v>28</v>
      </c>
      <c r="D163" s="13" t="s">
        <v>123</v>
      </c>
      <c r="E163" s="13" t="s">
        <v>139</v>
      </c>
      <c r="F163" s="13" t="s">
        <v>38</v>
      </c>
      <c r="G163" s="23">
        <f>300000+120000</f>
        <v>420000</v>
      </c>
      <c r="H163" s="23">
        <v>0</v>
      </c>
      <c r="I163" s="23">
        <v>0</v>
      </c>
    </row>
    <row r="164" spans="1:11" ht="51">
      <c r="A164" s="12" t="s">
        <v>140</v>
      </c>
      <c r="B164" s="13" t="s">
        <v>17</v>
      </c>
      <c r="C164" s="13" t="s">
        <v>28</v>
      </c>
      <c r="D164" s="13" t="s">
        <v>123</v>
      </c>
      <c r="E164" s="13" t="s">
        <v>141</v>
      </c>
      <c r="F164" s="13"/>
      <c r="G164" s="51">
        <f>G165</f>
        <v>2000</v>
      </c>
      <c r="H164" s="51">
        <f>H165</f>
        <v>2100</v>
      </c>
      <c r="I164" s="51">
        <f>I165</f>
        <v>2200</v>
      </c>
      <c r="K164" s="1" t="s">
        <v>309</v>
      </c>
    </row>
    <row r="165" spans="1:11">
      <c r="A165" s="12" t="s">
        <v>37</v>
      </c>
      <c r="B165" s="13" t="s">
        <v>17</v>
      </c>
      <c r="C165" s="13" t="s">
        <v>28</v>
      </c>
      <c r="D165" s="13" t="s">
        <v>123</v>
      </c>
      <c r="E165" s="13" t="s">
        <v>141</v>
      </c>
      <c r="F165" s="13" t="s">
        <v>38</v>
      </c>
      <c r="G165" s="23">
        <v>2000</v>
      </c>
      <c r="H165" s="23">
        <v>2100</v>
      </c>
      <c r="I165" s="23">
        <v>2200</v>
      </c>
    </row>
    <row r="166" spans="1:11">
      <c r="A166" s="12" t="s">
        <v>142</v>
      </c>
      <c r="B166" s="13" t="s">
        <v>17</v>
      </c>
      <c r="C166" s="13" t="s">
        <v>34</v>
      </c>
      <c r="D166" s="13" t="s">
        <v>19</v>
      </c>
      <c r="E166" s="13"/>
      <c r="F166" s="13"/>
      <c r="G166" s="51">
        <f>G167+G169+G171+G173+G174+G176+G178+G180</f>
        <v>149037960</v>
      </c>
      <c r="H166" s="51">
        <f>H167+H174+H176+H178+H180</f>
        <v>1700900</v>
      </c>
      <c r="I166" s="65">
        <f>I167+I174+I176+I178+I180</f>
        <v>912000</v>
      </c>
    </row>
    <row r="167" spans="1:11" ht="38.25">
      <c r="A167" s="12" t="s">
        <v>143</v>
      </c>
      <c r="B167" s="13" t="s">
        <v>17</v>
      </c>
      <c r="C167" s="13" t="s">
        <v>34</v>
      </c>
      <c r="D167" s="13" t="s">
        <v>19</v>
      </c>
      <c r="E167" s="13" t="s">
        <v>144</v>
      </c>
      <c r="F167" s="13"/>
      <c r="G167" s="51">
        <f>G168</f>
        <v>420000</v>
      </c>
      <c r="H167" s="51">
        <f>H168</f>
        <v>420000</v>
      </c>
      <c r="I167" s="51">
        <f>I168</f>
        <v>0</v>
      </c>
    </row>
    <row r="168" spans="1:11">
      <c r="A168" s="12" t="s">
        <v>37</v>
      </c>
      <c r="B168" s="13" t="s">
        <v>17</v>
      </c>
      <c r="C168" s="13" t="s">
        <v>34</v>
      </c>
      <c r="D168" s="13" t="s">
        <v>19</v>
      </c>
      <c r="E168" s="13" t="s">
        <v>144</v>
      </c>
      <c r="F168" s="13" t="s">
        <v>38</v>
      </c>
      <c r="G168" s="23">
        <f>839081-419081</f>
        <v>420000</v>
      </c>
      <c r="H168" s="23">
        <v>420000</v>
      </c>
      <c r="I168" s="23">
        <v>0</v>
      </c>
    </row>
    <row r="169" spans="1:11" ht="25.5">
      <c r="A169" s="12" t="s">
        <v>407</v>
      </c>
      <c r="B169" s="63" t="s">
        <v>17</v>
      </c>
      <c r="C169" s="63" t="s">
        <v>34</v>
      </c>
      <c r="D169" s="63" t="s">
        <v>19</v>
      </c>
      <c r="E169" s="63" t="s">
        <v>403</v>
      </c>
      <c r="F169" s="63"/>
      <c r="G169" s="51">
        <f>G170</f>
        <v>147488530</v>
      </c>
      <c r="H169" s="51">
        <f>H170</f>
        <v>0</v>
      </c>
      <c r="I169" s="51">
        <f>I170</f>
        <v>0</v>
      </c>
    </row>
    <row r="170" spans="1:11">
      <c r="A170" s="12" t="s">
        <v>37</v>
      </c>
      <c r="B170" s="63" t="s">
        <v>17</v>
      </c>
      <c r="C170" s="63" t="s">
        <v>34</v>
      </c>
      <c r="D170" s="63" t="s">
        <v>19</v>
      </c>
      <c r="E170" s="63" t="s">
        <v>403</v>
      </c>
      <c r="F170" s="74" t="s">
        <v>446</v>
      </c>
      <c r="G170" s="20">
        <f>127680760+19807770</f>
        <v>147488530</v>
      </c>
      <c r="H170" s="23">
        <v>0</v>
      </c>
      <c r="I170" s="23">
        <v>0</v>
      </c>
    </row>
    <row r="171" spans="1:11" ht="51">
      <c r="A171" s="12" t="s">
        <v>409</v>
      </c>
      <c r="B171" s="63" t="s">
        <v>17</v>
      </c>
      <c r="C171" s="63" t="s">
        <v>34</v>
      </c>
      <c r="D171" s="63" t="s">
        <v>19</v>
      </c>
      <c r="E171" s="63" t="s">
        <v>406</v>
      </c>
      <c r="F171" s="63"/>
      <c r="G171" s="51">
        <f>G172</f>
        <v>0</v>
      </c>
      <c r="H171" s="23">
        <v>0</v>
      </c>
      <c r="I171" s="23">
        <v>0</v>
      </c>
    </row>
    <row r="172" spans="1:11">
      <c r="A172" s="12" t="s">
        <v>37</v>
      </c>
      <c r="B172" s="63" t="s">
        <v>17</v>
      </c>
      <c r="C172" s="63" t="s">
        <v>34</v>
      </c>
      <c r="D172" s="63" t="s">
        <v>19</v>
      </c>
      <c r="E172" s="63" t="s">
        <v>406</v>
      </c>
      <c r="F172" s="63" t="s">
        <v>38</v>
      </c>
      <c r="G172" s="23">
        <f>400000-400000</f>
        <v>0</v>
      </c>
      <c r="H172" s="23">
        <v>0</v>
      </c>
      <c r="I172" s="23">
        <v>0</v>
      </c>
    </row>
    <row r="173" spans="1:11" ht="26.25">
      <c r="A173" s="83" t="s">
        <v>443</v>
      </c>
      <c r="B173" s="63" t="s">
        <v>17</v>
      </c>
      <c r="C173" s="63" t="s">
        <v>34</v>
      </c>
      <c r="D173" s="63" t="s">
        <v>19</v>
      </c>
      <c r="E173" s="63" t="s">
        <v>444</v>
      </c>
      <c r="F173" s="63" t="s">
        <v>38</v>
      </c>
      <c r="G173" s="23">
        <f>70000+60000+70000</f>
        <v>200000</v>
      </c>
      <c r="H173" s="23">
        <v>0</v>
      </c>
      <c r="I173" s="23">
        <v>0</v>
      </c>
    </row>
    <row r="174" spans="1:11" ht="25.5">
      <c r="A174" s="12" t="s">
        <v>145</v>
      </c>
      <c r="B174" s="13" t="s">
        <v>17</v>
      </c>
      <c r="C174" s="13" t="s">
        <v>34</v>
      </c>
      <c r="D174" s="13" t="s">
        <v>19</v>
      </c>
      <c r="E174" s="13" t="s">
        <v>146</v>
      </c>
      <c r="F174" s="13"/>
      <c r="G174" s="51">
        <f>G175</f>
        <v>62730</v>
      </c>
      <c r="H174" s="51">
        <f>H175</f>
        <v>0</v>
      </c>
      <c r="I174" s="51">
        <f>I175</f>
        <v>0</v>
      </c>
    </row>
    <row r="175" spans="1:11">
      <c r="A175" s="12" t="s">
        <v>37</v>
      </c>
      <c r="B175" s="13" t="s">
        <v>17</v>
      </c>
      <c r="C175" s="13" t="s">
        <v>34</v>
      </c>
      <c r="D175" s="13" t="s">
        <v>19</v>
      </c>
      <c r="E175" s="13" t="s">
        <v>146</v>
      </c>
      <c r="F175" s="13" t="s">
        <v>38</v>
      </c>
      <c r="G175" s="23">
        <f>429000-200000+70000+60000+70000-129000-37270-70000-60000-70000</f>
        <v>62730</v>
      </c>
      <c r="H175" s="23">
        <v>0</v>
      </c>
      <c r="I175" s="23">
        <v>0</v>
      </c>
    </row>
    <row r="176" spans="1:11" ht="26.25" customHeight="1">
      <c r="A176" s="33" t="s">
        <v>316</v>
      </c>
      <c r="B176" s="30" t="s">
        <v>17</v>
      </c>
      <c r="C176" s="30" t="s">
        <v>34</v>
      </c>
      <c r="D176" s="30" t="s">
        <v>19</v>
      </c>
      <c r="E176" s="30" t="s">
        <v>317</v>
      </c>
      <c r="F176" s="31"/>
      <c r="G176" s="51">
        <f>G177</f>
        <v>0</v>
      </c>
      <c r="H176" s="23">
        <v>404000</v>
      </c>
      <c r="I176" s="23">
        <v>0</v>
      </c>
    </row>
    <row r="177" spans="1:11">
      <c r="A177" s="12" t="s">
        <v>37</v>
      </c>
      <c r="B177" s="30" t="s">
        <v>17</v>
      </c>
      <c r="C177" s="30" t="s">
        <v>34</v>
      </c>
      <c r="D177" s="30" t="s">
        <v>19</v>
      </c>
      <c r="E177" s="78" t="s">
        <v>317</v>
      </c>
      <c r="F177" s="44" t="s">
        <v>54</v>
      </c>
      <c r="G177" s="25">
        <f>300000-12600-287400</f>
        <v>0</v>
      </c>
      <c r="H177" s="23">
        <v>404000</v>
      </c>
      <c r="I177" s="23">
        <v>0</v>
      </c>
      <c r="K177" s="1">
        <v>503</v>
      </c>
    </row>
    <row r="178" spans="1:11" ht="38.25">
      <c r="A178" s="12" t="s">
        <v>147</v>
      </c>
      <c r="B178" s="13" t="s">
        <v>17</v>
      </c>
      <c r="C178" s="13" t="s">
        <v>34</v>
      </c>
      <c r="D178" s="13" t="s">
        <v>19</v>
      </c>
      <c r="E178" s="13" t="s">
        <v>148</v>
      </c>
      <c r="F178" s="13"/>
      <c r="G178" s="51">
        <f>G179</f>
        <v>500000</v>
      </c>
      <c r="H178" s="51">
        <f>H179</f>
        <v>0</v>
      </c>
      <c r="I178" s="51">
        <f>I179</f>
        <v>0</v>
      </c>
    </row>
    <row r="179" spans="1:11">
      <c r="A179" s="12" t="s">
        <v>37</v>
      </c>
      <c r="B179" s="13" t="s">
        <v>17</v>
      </c>
      <c r="C179" s="13" t="s">
        <v>34</v>
      </c>
      <c r="D179" s="13" t="s">
        <v>19</v>
      </c>
      <c r="E179" s="13" t="s">
        <v>148</v>
      </c>
      <c r="F179" s="13" t="s">
        <v>38</v>
      </c>
      <c r="G179" s="23">
        <f>1200000-400000-300000</f>
        <v>500000</v>
      </c>
      <c r="H179" s="23">
        <v>0</v>
      </c>
      <c r="I179" s="23">
        <v>0</v>
      </c>
    </row>
    <row r="180" spans="1:11" ht="25.5">
      <c r="A180" s="12" t="s">
        <v>346</v>
      </c>
      <c r="B180" s="63" t="s">
        <v>17</v>
      </c>
      <c r="C180" s="63" t="s">
        <v>34</v>
      </c>
      <c r="D180" s="63" t="s">
        <v>19</v>
      </c>
      <c r="E180" s="63" t="s">
        <v>345</v>
      </c>
      <c r="F180" s="63"/>
      <c r="G180" s="51">
        <f>G181</f>
        <v>366700</v>
      </c>
      <c r="H180" s="51">
        <f>H181</f>
        <v>876900</v>
      </c>
      <c r="I180" s="51">
        <f>I181</f>
        <v>912000</v>
      </c>
    </row>
    <row r="181" spans="1:11">
      <c r="A181" s="12" t="s">
        <v>37</v>
      </c>
      <c r="B181" s="63" t="s">
        <v>17</v>
      </c>
      <c r="C181" s="63" t="s">
        <v>34</v>
      </c>
      <c r="D181" s="63" t="s">
        <v>19</v>
      </c>
      <c r="E181" s="63" t="s">
        <v>345</v>
      </c>
      <c r="F181" s="63" t="s">
        <v>38</v>
      </c>
      <c r="G181" s="23">
        <f>843200-1300-100000-49000-326200</f>
        <v>366700</v>
      </c>
      <c r="H181" s="23">
        <v>876900</v>
      </c>
      <c r="I181" s="23">
        <v>912000</v>
      </c>
    </row>
    <row r="182" spans="1:11">
      <c r="A182" s="12" t="s">
        <v>149</v>
      </c>
      <c r="B182" s="13" t="s">
        <v>17</v>
      </c>
      <c r="C182" s="13" t="s">
        <v>34</v>
      </c>
      <c r="D182" s="13" t="s">
        <v>20</v>
      </c>
      <c r="E182" s="13"/>
      <c r="F182" s="13"/>
      <c r="G182" s="51">
        <f>G183+G186+G188+G190+G192+G193+G194+G196+G198+G200+G204+G206</f>
        <v>262181779.94</v>
      </c>
      <c r="H182" s="51">
        <f>H186+H188+H190+H194+H196+H198+H200+H204</f>
        <v>56704601.939999998</v>
      </c>
      <c r="I182" s="65">
        <f>I190+I194+I196+I198+I200+I204</f>
        <v>24825200</v>
      </c>
    </row>
    <row r="183" spans="1:11" ht="38.25">
      <c r="A183" s="12" t="s">
        <v>398</v>
      </c>
      <c r="B183" s="44" t="s">
        <v>17</v>
      </c>
      <c r="C183" s="44" t="s">
        <v>34</v>
      </c>
      <c r="D183" s="44" t="s">
        <v>20</v>
      </c>
      <c r="E183" s="44" t="s">
        <v>399</v>
      </c>
      <c r="F183" s="30"/>
      <c r="G183" s="51">
        <f>G184+G185</f>
        <v>42588.5</v>
      </c>
      <c r="H183" s="51">
        <f>H184</f>
        <v>0</v>
      </c>
      <c r="I183" s="51">
        <f>I184</f>
        <v>0</v>
      </c>
    </row>
    <row r="184" spans="1:11">
      <c r="A184" s="12" t="s">
        <v>37</v>
      </c>
      <c r="B184" s="44" t="s">
        <v>17</v>
      </c>
      <c r="C184" s="44" t="s">
        <v>34</v>
      </c>
      <c r="D184" s="44" t="s">
        <v>20</v>
      </c>
      <c r="E184" s="44" t="s">
        <v>399</v>
      </c>
      <c r="F184" s="44" t="s">
        <v>38</v>
      </c>
      <c r="G184" s="23">
        <f>42588.5-42588.5</f>
        <v>0</v>
      </c>
      <c r="H184" s="23">
        <v>0</v>
      </c>
      <c r="I184" s="23">
        <v>0</v>
      </c>
    </row>
    <row r="185" spans="1:11">
      <c r="A185" s="12" t="s">
        <v>336</v>
      </c>
      <c r="B185" s="44" t="s">
        <v>17</v>
      </c>
      <c r="C185" s="44" t="s">
        <v>34</v>
      </c>
      <c r="D185" s="44" t="s">
        <v>20</v>
      </c>
      <c r="E185" s="44" t="s">
        <v>399</v>
      </c>
      <c r="F185" s="44" t="s">
        <v>337</v>
      </c>
      <c r="G185" s="23">
        <v>42588.5</v>
      </c>
      <c r="H185" s="23">
        <v>0</v>
      </c>
      <c r="I185" s="23">
        <v>0</v>
      </c>
    </row>
    <row r="186" spans="1:11" ht="51">
      <c r="A186" s="12" t="s">
        <v>350</v>
      </c>
      <c r="B186" s="43" t="s">
        <v>17</v>
      </c>
      <c r="C186" s="43" t="s">
        <v>34</v>
      </c>
      <c r="D186" s="43" t="s">
        <v>20</v>
      </c>
      <c r="E186" s="48" t="s">
        <v>371</v>
      </c>
      <c r="F186" s="43"/>
      <c r="G186" s="51">
        <f>G187</f>
        <v>11591500</v>
      </c>
      <c r="H186" s="51">
        <f>H187</f>
        <v>31150193.880000003</v>
      </c>
      <c r="I186" s="51">
        <f>I187</f>
        <v>0</v>
      </c>
    </row>
    <row r="187" spans="1:11">
      <c r="A187" s="12" t="s">
        <v>37</v>
      </c>
      <c r="B187" s="43" t="s">
        <v>17</v>
      </c>
      <c r="C187" s="43" t="s">
        <v>34</v>
      </c>
      <c r="D187" s="43" t="s">
        <v>20</v>
      </c>
      <c r="E187" s="48" t="s">
        <v>371</v>
      </c>
      <c r="F187" s="43" t="s">
        <v>38</v>
      </c>
      <c r="G187" s="23">
        <v>11591500</v>
      </c>
      <c r="H187" s="23">
        <f>14501500+16648693.88</f>
        <v>31150193.880000003</v>
      </c>
      <c r="I187" s="23">
        <v>0</v>
      </c>
    </row>
    <row r="188" spans="1:11" ht="51">
      <c r="A188" s="12" t="s">
        <v>372</v>
      </c>
      <c r="B188" s="43" t="s">
        <v>17</v>
      </c>
      <c r="C188" s="43" t="s">
        <v>34</v>
      </c>
      <c r="D188" s="43" t="s">
        <v>20</v>
      </c>
      <c r="E188" s="48" t="s">
        <v>373</v>
      </c>
      <c r="F188" s="43"/>
      <c r="G188" s="51">
        <f>G189</f>
        <v>358500</v>
      </c>
      <c r="H188" s="51">
        <f>H189</f>
        <v>963408.06</v>
      </c>
      <c r="I188" s="51">
        <f>I189</f>
        <v>0</v>
      </c>
    </row>
    <row r="189" spans="1:11">
      <c r="A189" s="12" t="s">
        <v>37</v>
      </c>
      <c r="B189" s="43" t="s">
        <v>17</v>
      </c>
      <c r="C189" s="43" t="s">
        <v>34</v>
      </c>
      <c r="D189" s="43" t="s">
        <v>20</v>
      </c>
      <c r="E189" s="48" t="s">
        <v>373</v>
      </c>
      <c r="F189" s="43" t="s">
        <v>38</v>
      </c>
      <c r="G189" s="23">
        <v>358500</v>
      </c>
      <c r="H189" s="23">
        <f>448500+514908.06</f>
        <v>963408.06</v>
      </c>
      <c r="I189" s="23">
        <v>0</v>
      </c>
    </row>
    <row r="190" spans="1:11" ht="38.25">
      <c r="A190" s="12" t="s">
        <v>347</v>
      </c>
      <c r="B190" s="43" t="s">
        <v>17</v>
      </c>
      <c r="C190" s="43" t="s">
        <v>34</v>
      </c>
      <c r="D190" s="43" t="s">
        <v>20</v>
      </c>
      <c r="E190" s="48" t="s">
        <v>348</v>
      </c>
      <c r="F190" s="43"/>
      <c r="G190" s="51">
        <f>G191</f>
        <v>0</v>
      </c>
      <c r="H190" s="51">
        <f>H191</f>
        <v>22500000</v>
      </c>
      <c r="I190" s="51">
        <f>I191</f>
        <v>22500000</v>
      </c>
    </row>
    <row r="191" spans="1:11">
      <c r="A191" s="12" t="s">
        <v>37</v>
      </c>
      <c r="B191" s="43" t="s">
        <v>17</v>
      </c>
      <c r="C191" s="43" t="s">
        <v>34</v>
      </c>
      <c r="D191" s="43" t="s">
        <v>20</v>
      </c>
      <c r="E191" s="48" t="s">
        <v>348</v>
      </c>
      <c r="F191" s="43" t="s">
        <v>38</v>
      </c>
      <c r="G191" s="23">
        <v>0</v>
      </c>
      <c r="H191" s="23">
        <v>22500000</v>
      </c>
      <c r="I191" s="23">
        <v>22500000</v>
      </c>
    </row>
    <row r="192" spans="1:11" ht="25.5">
      <c r="A192" s="12" t="s">
        <v>445</v>
      </c>
      <c r="B192" s="44" t="s">
        <v>17</v>
      </c>
      <c r="C192" s="44" t="s">
        <v>34</v>
      </c>
      <c r="D192" s="44" t="s">
        <v>20</v>
      </c>
      <c r="E192" s="44" t="s">
        <v>444</v>
      </c>
      <c r="F192" s="44" t="s">
        <v>38</v>
      </c>
      <c r="G192" s="23">
        <v>6610000</v>
      </c>
      <c r="H192" s="23">
        <v>0</v>
      </c>
      <c r="I192" s="23">
        <v>0</v>
      </c>
    </row>
    <row r="193" spans="1:9" ht="25.5">
      <c r="A193" s="12" t="s">
        <v>441</v>
      </c>
      <c r="B193" s="44" t="s">
        <v>17</v>
      </c>
      <c r="C193" s="44" t="s">
        <v>34</v>
      </c>
      <c r="D193" s="44" t="s">
        <v>20</v>
      </c>
      <c r="E193" s="44" t="s">
        <v>442</v>
      </c>
      <c r="F193" s="44" t="s">
        <v>38</v>
      </c>
      <c r="G193" s="23">
        <v>4461000</v>
      </c>
      <c r="H193" s="23">
        <v>0</v>
      </c>
      <c r="I193" s="23">
        <v>0</v>
      </c>
    </row>
    <row r="194" spans="1:9" ht="63.75">
      <c r="A194" s="35" t="s">
        <v>161</v>
      </c>
      <c r="B194" s="30" t="s">
        <v>17</v>
      </c>
      <c r="C194" s="30" t="s">
        <v>34</v>
      </c>
      <c r="D194" s="30" t="s">
        <v>20</v>
      </c>
      <c r="E194" s="30" t="s">
        <v>162</v>
      </c>
      <c r="F194" s="63"/>
      <c r="G194" s="51">
        <f>G195</f>
        <v>0</v>
      </c>
      <c r="H194" s="51">
        <f>H195</f>
        <v>769000</v>
      </c>
      <c r="I194" s="51">
        <f>I195</f>
        <v>769000</v>
      </c>
    </row>
    <row r="195" spans="1:9" ht="51">
      <c r="A195" s="34" t="s">
        <v>318</v>
      </c>
      <c r="B195" s="30" t="s">
        <v>17</v>
      </c>
      <c r="C195" s="30" t="s">
        <v>34</v>
      </c>
      <c r="D195" s="30" t="s">
        <v>20</v>
      </c>
      <c r="E195" s="30" t="s">
        <v>162</v>
      </c>
      <c r="F195" s="30" t="s">
        <v>108</v>
      </c>
      <c r="G195" s="23">
        <f>769000-769000</f>
        <v>0</v>
      </c>
      <c r="H195" s="23">
        <v>769000</v>
      </c>
      <c r="I195" s="23">
        <v>769000</v>
      </c>
    </row>
    <row r="196" spans="1:9" ht="63.75" customHeight="1">
      <c r="A196" s="12" t="s">
        <v>151</v>
      </c>
      <c r="B196" s="63" t="s">
        <v>17</v>
      </c>
      <c r="C196" s="63" t="s">
        <v>34</v>
      </c>
      <c r="D196" s="63" t="s">
        <v>20</v>
      </c>
      <c r="E196" s="30" t="s">
        <v>150</v>
      </c>
      <c r="F196" s="63"/>
      <c r="G196" s="51">
        <f>G197</f>
        <v>929975.67999999993</v>
      </c>
      <c r="H196" s="51">
        <f>H197</f>
        <v>1122000</v>
      </c>
      <c r="I196" s="51">
        <f>I197</f>
        <v>1356200</v>
      </c>
    </row>
    <row r="197" spans="1:9">
      <c r="A197" s="12" t="s">
        <v>37</v>
      </c>
      <c r="B197" s="63" t="s">
        <v>17</v>
      </c>
      <c r="C197" s="63" t="s">
        <v>34</v>
      </c>
      <c r="D197" s="63" t="s">
        <v>20</v>
      </c>
      <c r="E197" s="30" t="s">
        <v>150</v>
      </c>
      <c r="F197" s="63" t="s">
        <v>38</v>
      </c>
      <c r="G197" s="53">
        <f>1218614+3600-499238.32+207000</f>
        <v>929975.67999999993</v>
      </c>
      <c r="H197" s="53">
        <v>1122000</v>
      </c>
      <c r="I197" s="53">
        <v>1356200</v>
      </c>
    </row>
    <row r="198" spans="1:9" ht="63.75" customHeight="1">
      <c r="A198" s="12" t="s">
        <v>151</v>
      </c>
      <c r="B198" s="13" t="s">
        <v>17</v>
      </c>
      <c r="C198" s="13" t="s">
        <v>34</v>
      </c>
      <c r="D198" s="13" t="s">
        <v>20</v>
      </c>
      <c r="E198" s="30" t="s">
        <v>150</v>
      </c>
      <c r="F198" s="13"/>
      <c r="G198" s="51">
        <f>G199</f>
        <v>0</v>
      </c>
      <c r="H198" s="51">
        <f>H199</f>
        <v>0</v>
      </c>
      <c r="I198" s="51">
        <f>I199</f>
        <v>0</v>
      </c>
    </row>
    <row r="199" spans="1:9">
      <c r="A199" s="12" t="s">
        <v>53</v>
      </c>
      <c r="B199" s="43" t="s">
        <v>17</v>
      </c>
      <c r="C199" s="43" t="s">
        <v>34</v>
      </c>
      <c r="D199" s="43" t="s">
        <v>20</v>
      </c>
      <c r="E199" s="36" t="s">
        <v>150</v>
      </c>
      <c r="F199" s="43" t="s">
        <v>54</v>
      </c>
      <c r="G199" s="23">
        <f>1122000-1122000</f>
        <v>0</v>
      </c>
      <c r="H199" s="23">
        <v>0</v>
      </c>
      <c r="I199" s="23">
        <v>0</v>
      </c>
    </row>
    <row r="200" spans="1:9" ht="25.5" customHeight="1">
      <c r="A200" s="49" t="s">
        <v>349</v>
      </c>
      <c r="B200" s="43" t="s">
        <v>17</v>
      </c>
      <c r="C200" s="43" t="s">
        <v>34</v>
      </c>
      <c r="D200" s="43" t="s">
        <v>20</v>
      </c>
      <c r="E200" s="48" t="s">
        <v>335</v>
      </c>
      <c r="F200" s="43"/>
      <c r="G200" s="51">
        <f>G201</f>
        <v>200000</v>
      </c>
      <c r="H200" s="51">
        <f>H201</f>
        <v>200000</v>
      </c>
      <c r="I200" s="51">
        <f>I201</f>
        <v>200000</v>
      </c>
    </row>
    <row r="201" spans="1:9">
      <c r="A201" s="12" t="s">
        <v>37</v>
      </c>
      <c r="B201" s="43" t="s">
        <v>17</v>
      </c>
      <c r="C201" s="43" t="s">
        <v>34</v>
      </c>
      <c r="D201" s="43" t="s">
        <v>20</v>
      </c>
      <c r="E201" s="48" t="s">
        <v>335</v>
      </c>
      <c r="F201" s="43" t="s">
        <v>38</v>
      </c>
      <c r="G201" s="23">
        <v>200000</v>
      </c>
      <c r="H201" s="23">
        <v>200000</v>
      </c>
      <c r="I201" s="23">
        <v>200000</v>
      </c>
    </row>
    <row r="202" spans="1:9" ht="48.75">
      <c r="A202" s="47" t="s">
        <v>350</v>
      </c>
      <c r="B202" s="43" t="s">
        <v>17</v>
      </c>
      <c r="C202" s="43" t="s">
        <v>34</v>
      </c>
      <c r="D202" s="43" t="s">
        <v>20</v>
      </c>
      <c r="E202" s="48" t="s">
        <v>351</v>
      </c>
      <c r="F202" s="43"/>
      <c r="G202" s="51">
        <f>G203</f>
        <v>0</v>
      </c>
      <c r="H202" s="51">
        <f>H203</f>
        <v>0</v>
      </c>
      <c r="I202" s="51">
        <f>I203</f>
        <v>0</v>
      </c>
    </row>
    <row r="203" spans="1:9">
      <c r="A203" s="12" t="s">
        <v>37</v>
      </c>
      <c r="B203" s="43" t="s">
        <v>17</v>
      </c>
      <c r="C203" s="43" t="s">
        <v>34</v>
      </c>
      <c r="D203" s="43" t="s">
        <v>20</v>
      </c>
      <c r="E203" s="48" t="s">
        <v>351</v>
      </c>
      <c r="F203" s="43" t="s">
        <v>38</v>
      </c>
      <c r="G203" s="23">
        <f>11591500-11591500</f>
        <v>0</v>
      </c>
      <c r="H203" s="23">
        <f>14501500-14501500</f>
        <v>0</v>
      </c>
      <c r="I203" s="23">
        <v>0</v>
      </c>
    </row>
    <row r="204" spans="1:9" ht="38.25">
      <c r="A204" s="12" t="s">
        <v>347</v>
      </c>
      <c r="B204" s="43" t="s">
        <v>17</v>
      </c>
      <c r="C204" s="43" t="s">
        <v>34</v>
      </c>
      <c r="D204" s="43" t="s">
        <v>20</v>
      </c>
      <c r="E204" s="48" t="s">
        <v>364</v>
      </c>
      <c r="F204" s="43"/>
      <c r="G204" s="51">
        <f>G205</f>
        <v>235028615.75999999</v>
      </c>
      <c r="H204" s="51">
        <f>H205</f>
        <v>0</v>
      </c>
      <c r="I204" s="51">
        <f>I205</f>
        <v>0</v>
      </c>
    </row>
    <row r="205" spans="1:9">
      <c r="A205" s="12" t="s">
        <v>37</v>
      </c>
      <c r="B205" s="43" t="s">
        <v>17</v>
      </c>
      <c r="C205" s="43" t="s">
        <v>34</v>
      </c>
      <c r="D205" s="43" t="s">
        <v>20</v>
      </c>
      <c r="E205" s="48" t="s">
        <v>364</v>
      </c>
      <c r="F205" s="43" t="s">
        <v>38</v>
      </c>
      <c r="G205" s="23">
        <f>13704200+413631.28+990000+99424.48+117514290+14540670+87766400</f>
        <v>235028615.75999999</v>
      </c>
      <c r="H205" s="23">
        <v>0</v>
      </c>
      <c r="I205" s="23">
        <v>0</v>
      </c>
    </row>
    <row r="206" spans="1:9">
      <c r="A206" s="75" t="s">
        <v>365</v>
      </c>
      <c r="B206" s="44" t="s">
        <v>17</v>
      </c>
      <c r="C206" s="44" t="s">
        <v>34</v>
      </c>
      <c r="D206" s="44" t="s">
        <v>20</v>
      </c>
      <c r="E206" s="44" t="s">
        <v>370</v>
      </c>
      <c r="F206" s="30"/>
      <c r="G206" s="51">
        <f>G207+G209</f>
        <v>2959600</v>
      </c>
      <c r="H206" s="51">
        <v>0</v>
      </c>
      <c r="I206" s="51">
        <v>0</v>
      </c>
    </row>
    <row r="207" spans="1:9" ht="38.25">
      <c r="A207" s="82" t="s">
        <v>410</v>
      </c>
      <c r="B207" s="44" t="s">
        <v>17</v>
      </c>
      <c r="C207" s="44" t="s">
        <v>34</v>
      </c>
      <c r="D207" s="44" t="s">
        <v>20</v>
      </c>
      <c r="E207" s="44" t="s">
        <v>403</v>
      </c>
      <c r="F207" s="44"/>
      <c r="G207" s="23">
        <v>1073600</v>
      </c>
      <c r="H207" s="23">
        <v>0</v>
      </c>
      <c r="I207" s="23">
        <v>0</v>
      </c>
    </row>
    <row r="208" spans="1:9">
      <c r="A208" s="12" t="s">
        <v>37</v>
      </c>
      <c r="B208" s="44" t="s">
        <v>17</v>
      </c>
      <c r="C208" s="44" t="s">
        <v>34</v>
      </c>
      <c r="D208" s="44" t="s">
        <v>20</v>
      </c>
      <c r="E208" s="44" t="s">
        <v>403</v>
      </c>
      <c r="F208" s="44" t="s">
        <v>38</v>
      </c>
      <c r="G208" s="23">
        <v>1073600</v>
      </c>
      <c r="H208" s="23">
        <v>0</v>
      </c>
      <c r="I208" s="23">
        <v>0</v>
      </c>
    </row>
    <row r="209" spans="1:12">
      <c r="A209" s="75" t="s">
        <v>366</v>
      </c>
      <c r="B209" s="44" t="s">
        <v>17</v>
      </c>
      <c r="C209" s="44" t="s">
        <v>34</v>
      </c>
      <c r="D209" s="44" t="s">
        <v>20</v>
      </c>
      <c r="E209" s="44" t="s">
        <v>368</v>
      </c>
      <c r="F209" s="30"/>
      <c r="G209" s="53">
        <f>G210</f>
        <v>1886000</v>
      </c>
      <c r="H209" s="23">
        <v>0</v>
      </c>
      <c r="I209" s="23">
        <v>0</v>
      </c>
    </row>
    <row r="210" spans="1:12">
      <c r="A210" s="75" t="s">
        <v>367</v>
      </c>
      <c r="B210" s="44" t="s">
        <v>17</v>
      </c>
      <c r="C210" s="44" t="s">
        <v>34</v>
      </c>
      <c r="D210" s="44" t="s">
        <v>20</v>
      </c>
      <c r="E210" s="44" t="s">
        <v>368</v>
      </c>
      <c r="F210" s="44" t="s">
        <v>369</v>
      </c>
      <c r="G210" s="23">
        <v>1886000</v>
      </c>
      <c r="H210" s="23">
        <v>0</v>
      </c>
      <c r="I210" s="23">
        <v>0</v>
      </c>
    </row>
    <row r="211" spans="1:12">
      <c r="A211" s="12" t="s">
        <v>152</v>
      </c>
      <c r="B211" s="13" t="s">
        <v>17</v>
      </c>
      <c r="C211" s="13" t="s">
        <v>34</v>
      </c>
      <c r="D211" s="13" t="s">
        <v>72</v>
      </c>
      <c r="E211" s="13"/>
      <c r="F211" s="13"/>
      <c r="G211" s="51">
        <f>G212+G215+G217+G219+G221+G223+G225+G227</f>
        <v>13705533.98</v>
      </c>
      <c r="H211" s="51">
        <f>H212+H215+H217+H219+H221+H223</f>
        <v>12614515</v>
      </c>
      <c r="I211" s="65">
        <f>I212+I215+I217+I219+I221+I223</f>
        <v>9518587</v>
      </c>
    </row>
    <row r="212" spans="1:12">
      <c r="A212" s="12" t="s">
        <v>153</v>
      </c>
      <c r="B212" s="13" t="s">
        <v>17</v>
      </c>
      <c r="C212" s="13" t="s">
        <v>34</v>
      </c>
      <c r="D212" s="13" t="s">
        <v>72</v>
      </c>
      <c r="E212" s="13" t="s">
        <v>154</v>
      </c>
      <c r="F212" s="13"/>
      <c r="G212" s="51">
        <f>G213+G214</f>
        <v>5362590.67</v>
      </c>
      <c r="H212" s="51">
        <f>H213+H214</f>
        <v>6057065</v>
      </c>
      <c r="I212" s="51">
        <f>I213+I214</f>
        <v>6284937</v>
      </c>
    </row>
    <row r="213" spans="1:12">
      <c r="A213" s="12" t="s">
        <v>37</v>
      </c>
      <c r="B213" s="13" t="s">
        <v>17</v>
      </c>
      <c r="C213" s="13" t="s">
        <v>34</v>
      </c>
      <c r="D213" s="13" t="s">
        <v>72</v>
      </c>
      <c r="E213" s="13" t="s">
        <v>154</v>
      </c>
      <c r="F213" s="13" t="s">
        <v>38</v>
      </c>
      <c r="G213" s="23">
        <v>1341284.22</v>
      </c>
      <c r="H213" s="25">
        <v>2190374.6</v>
      </c>
      <c r="I213" s="25">
        <v>2269953.4700000002</v>
      </c>
    </row>
    <row r="214" spans="1:12">
      <c r="A214" s="12" t="s">
        <v>53</v>
      </c>
      <c r="B214" s="13" t="s">
        <v>17</v>
      </c>
      <c r="C214" s="13" t="s">
        <v>34</v>
      </c>
      <c r="D214" s="13" t="s">
        <v>72</v>
      </c>
      <c r="E214" s="13" t="s">
        <v>154</v>
      </c>
      <c r="F214" s="13" t="s">
        <v>54</v>
      </c>
      <c r="G214" s="23">
        <f>3853715.78-77230+244820.67</f>
        <v>4021306.4499999997</v>
      </c>
      <c r="H214" s="25">
        <v>3866690.4</v>
      </c>
      <c r="I214" s="25">
        <v>4014983.53</v>
      </c>
    </row>
    <row r="215" spans="1:12">
      <c r="A215" s="12" t="s">
        <v>354</v>
      </c>
      <c r="B215" s="63" t="s">
        <v>17</v>
      </c>
      <c r="C215" s="63" t="s">
        <v>34</v>
      </c>
      <c r="D215" s="63" t="s">
        <v>72</v>
      </c>
      <c r="E215" s="63" t="s">
        <v>352</v>
      </c>
      <c r="F215" s="63"/>
      <c r="G215" s="51">
        <f>G216</f>
        <v>0</v>
      </c>
      <c r="H215" s="51">
        <f>H216</f>
        <v>3246000</v>
      </c>
      <c r="I215" s="51">
        <f>I216</f>
        <v>0</v>
      </c>
    </row>
    <row r="216" spans="1:12">
      <c r="A216" s="12" t="s">
        <v>37</v>
      </c>
      <c r="B216" s="63" t="s">
        <v>17</v>
      </c>
      <c r="C216" s="63" t="s">
        <v>34</v>
      </c>
      <c r="D216" s="63" t="s">
        <v>72</v>
      </c>
      <c r="E216" s="63" t="s">
        <v>352</v>
      </c>
      <c r="F216" s="63" t="s">
        <v>38</v>
      </c>
      <c r="G216" s="23">
        <f>277500-277500</f>
        <v>0</v>
      </c>
      <c r="H216" s="25">
        <v>3246000</v>
      </c>
      <c r="I216" s="25">
        <v>0</v>
      </c>
    </row>
    <row r="217" spans="1:12">
      <c r="A217" s="12" t="s">
        <v>155</v>
      </c>
      <c r="B217" s="13" t="s">
        <v>17</v>
      </c>
      <c r="C217" s="13" t="s">
        <v>34</v>
      </c>
      <c r="D217" s="13" t="s">
        <v>72</v>
      </c>
      <c r="E217" s="13" t="s">
        <v>156</v>
      </c>
      <c r="F217" s="13"/>
      <c r="G217" s="51">
        <f>G218</f>
        <v>444474.4</v>
      </c>
      <c r="H217" s="51">
        <f>H218</f>
        <v>815150</v>
      </c>
      <c r="I217" s="51">
        <f>I218</f>
        <v>734350</v>
      </c>
    </row>
    <row r="218" spans="1:12">
      <c r="A218" s="12" t="s">
        <v>37</v>
      </c>
      <c r="B218" s="13" t="s">
        <v>17</v>
      </c>
      <c r="C218" s="13" t="s">
        <v>34</v>
      </c>
      <c r="D218" s="13" t="s">
        <v>72</v>
      </c>
      <c r="E218" s="13" t="s">
        <v>156</v>
      </c>
      <c r="F218" s="13" t="s">
        <v>38</v>
      </c>
      <c r="G218" s="23">
        <f>629000-175420.6-9105</f>
        <v>444474.4</v>
      </c>
      <c r="H218" s="23">
        <v>815150</v>
      </c>
      <c r="I218" s="23">
        <v>734350</v>
      </c>
    </row>
    <row r="219" spans="1:12" ht="63.75">
      <c r="A219" s="12" t="s">
        <v>157</v>
      </c>
      <c r="B219" s="13" t="s">
        <v>17</v>
      </c>
      <c r="C219" s="13" t="s">
        <v>34</v>
      </c>
      <c r="D219" s="13" t="s">
        <v>72</v>
      </c>
      <c r="E219" s="13" t="s">
        <v>158</v>
      </c>
      <c r="F219" s="13"/>
      <c r="G219" s="51">
        <f>G220</f>
        <v>2081983.5399999998</v>
      </c>
      <c r="H219" s="51">
        <f>H220</f>
        <v>2496300</v>
      </c>
      <c r="I219" s="51">
        <f>I220</f>
        <v>2499300</v>
      </c>
      <c r="K219" s="1" t="s">
        <v>309</v>
      </c>
      <c r="L219" s="1" t="s">
        <v>309</v>
      </c>
    </row>
    <row r="220" spans="1:12">
      <c r="A220" s="12" t="s">
        <v>37</v>
      </c>
      <c r="B220" s="13" t="s">
        <v>17</v>
      </c>
      <c r="C220" s="13" t="s">
        <v>34</v>
      </c>
      <c r="D220" s="13" t="s">
        <v>72</v>
      </c>
      <c r="E220" s="13" t="s">
        <v>158</v>
      </c>
      <c r="F220" s="13" t="s">
        <v>38</v>
      </c>
      <c r="G220" s="53">
        <f>2014844.8-200000-94900+263187.92+94900-22857.8-30000-27000+19137.23+64671.39</f>
        <v>2081983.5399999998</v>
      </c>
      <c r="H220" s="23">
        <v>2496300</v>
      </c>
      <c r="I220" s="23">
        <v>2499300</v>
      </c>
    </row>
    <row r="221" spans="1:12" ht="17.25" customHeight="1">
      <c r="A221" s="42" t="s">
        <v>324</v>
      </c>
      <c r="B221" s="13" t="s">
        <v>17</v>
      </c>
      <c r="C221" s="13" t="s">
        <v>34</v>
      </c>
      <c r="D221" s="13" t="s">
        <v>72</v>
      </c>
      <c r="E221" s="44" t="s">
        <v>338</v>
      </c>
      <c r="F221" s="13"/>
      <c r="G221" s="51">
        <f>G222</f>
        <v>0</v>
      </c>
      <c r="H221" s="51">
        <f>H222</f>
        <v>0</v>
      </c>
      <c r="I221" s="51">
        <f>I222</f>
        <v>0</v>
      </c>
    </row>
    <row r="222" spans="1:12" ht="17.25" customHeight="1">
      <c r="A222" s="12" t="s">
        <v>37</v>
      </c>
      <c r="B222" s="57" t="s">
        <v>17</v>
      </c>
      <c r="C222" s="57" t="s">
        <v>34</v>
      </c>
      <c r="D222" s="57" t="s">
        <v>72</v>
      </c>
      <c r="E222" s="44" t="s">
        <v>338</v>
      </c>
      <c r="F222" s="57" t="s">
        <v>38</v>
      </c>
      <c r="G222" s="23">
        <f>620100-145000-375100-100000</f>
        <v>0</v>
      </c>
      <c r="H222" s="23">
        <v>0</v>
      </c>
      <c r="I222" s="23">
        <v>0</v>
      </c>
    </row>
    <row r="223" spans="1:12" ht="17.25" customHeight="1">
      <c r="A223" s="42" t="s">
        <v>324</v>
      </c>
      <c r="B223" s="56" t="s">
        <v>17</v>
      </c>
      <c r="C223" s="56" t="s">
        <v>34</v>
      </c>
      <c r="D223" s="56" t="s">
        <v>72</v>
      </c>
      <c r="E223" s="30" t="s">
        <v>160</v>
      </c>
      <c r="F223" s="56"/>
      <c r="G223" s="51">
        <f>G224</f>
        <v>0</v>
      </c>
      <c r="H223" s="51">
        <f>H224</f>
        <v>0</v>
      </c>
      <c r="I223" s="51">
        <f>I224</f>
        <v>0</v>
      </c>
    </row>
    <row r="224" spans="1:12">
      <c r="A224" s="12" t="s">
        <v>37</v>
      </c>
      <c r="B224" s="13" t="s">
        <v>17</v>
      </c>
      <c r="C224" s="13" t="s">
        <v>34</v>
      </c>
      <c r="D224" s="13" t="s">
        <v>72</v>
      </c>
      <c r="E224" s="30" t="s">
        <v>160</v>
      </c>
      <c r="F224" s="13" t="s">
        <v>38</v>
      </c>
      <c r="G224" s="23">
        <f>620100-620100</f>
        <v>0</v>
      </c>
      <c r="H224" s="23">
        <v>0</v>
      </c>
      <c r="I224" s="23">
        <v>0</v>
      </c>
    </row>
    <row r="225" spans="1:9">
      <c r="A225" s="12" t="s">
        <v>396</v>
      </c>
      <c r="B225" s="63" t="s">
        <v>17</v>
      </c>
      <c r="C225" s="63" t="s">
        <v>34</v>
      </c>
      <c r="D225" s="63" t="s">
        <v>72</v>
      </c>
      <c r="E225" s="44" t="s">
        <v>397</v>
      </c>
      <c r="F225" s="63"/>
      <c r="G225" s="51">
        <f>G226</f>
        <v>7930.37</v>
      </c>
      <c r="H225" s="51">
        <f>H226</f>
        <v>0</v>
      </c>
      <c r="I225" s="51">
        <f>I226</f>
        <v>0</v>
      </c>
    </row>
    <row r="226" spans="1:9">
      <c r="A226" s="12" t="s">
        <v>37</v>
      </c>
      <c r="B226" s="63" t="s">
        <v>17</v>
      </c>
      <c r="C226" s="63" t="s">
        <v>34</v>
      </c>
      <c r="D226" s="63" t="s">
        <v>72</v>
      </c>
      <c r="E226" s="44" t="s">
        <v>397</v>
      </c>
      <c r="F226" s="63" t="s">
        <v>38</v>
      </c>
      <c r="G226" s="23">
        <f>12600-4669.63</f>
        <v>7930.37</v>
      </c>
      <c r="H226" s="23">
        <v>0</v>
      </c>
      <c r="I226" s="23">
        <v>0</v>
      </c>
    </row>
    <row r="227" spans="1:9">
      <c r="A227" s="12" t="s">
        <v>365</v>
      </c>
      <c r="B227" s="63" t="s">
        <v>17</v>
      </c>
      <c r="C227" s="63" t="s">
        <v>34</v>
      </c>
      <c r="D227" s="63" t="s">
        <v>72</v>
      </c>
      <c r="E227" s="44" t="s">
        <v>370</v>
      </c>
      <c r="F227" s="63"/>
      <c r="G227" s="51">
        <f>G228</f>
        <v>5808555</v>
      </c>
      <c r="H227" s="23">
        <v>0</v>
      </c>
      <c r="I227" s="23">
        <v>0</v>
      </c>
    </row>
    <row r="228" spans="1:9" ht="25.5">
      <c r="A228" s="80" t="s">
        <v>402</v>
      </c>
      <c r="B228" s="63" t="s">
        <v>17</v>
      </c>
      <c r="C228" s="63" t="s">
        <v>34</v>
      </c>
      <c r="D228" s="63" t="s">
        <v>72</v>
      </c>
      <c r="E228" s="44" t="s">
        <v>403</v>
      </c>
      <c r="F228" s="63"/>
      <c r="G228" s="53">
        <f>G229</f>
        <v>5808555</v>
      </c>
      <c r="H228" s="23">
        <v>0</v>
      </c>
      <c r="I228" s="23">
        <v>0</v>
      </c>
    </row>
    <row r="229" spans="1:9">
      <c r="A229" s="12" t="s">
        <v>37</v>
      </c>
      <c r="B229" s="63" t="s">
        <v>17</v>
      </c>
      <c r="C229" s="63" t="s">
        <v>34</v>
      </c>
      <c r="D229" s="63" t="s">
        <v>72</v>
      </c>
      <c r="E229" s="44" t="s">
        <v>403</v>
      </c>
      <c r="F229" s="63" t="s">
        <v>38</v>
      </c>
      <c r="G229" s="23">
        <f>1967300+3841255</f>
        <v>5808555</v>
      </c>
      <c r="H229" s="23">
        <v>0</v>
      </c>
      <c r="I229" s="23">
        <v>0</v>
      </c>
    </row>
    <row r="230" spans="1:9" ht="25.5">
      <c r="A230" s="12" t="s">
        <v>159</v>
      </c>
      <c r="B230" s="63" t="s">
        <v>17</v>
      </c>
      <c r="C230" s="63" t="s">
        <v>34</v>
      </c>
      <c r="D230" s="63" t="s">
        <v>34</v>
      </c>
      <c r="E230" s="44" t="s">
        <v>160</v>
      </c>
      <c r="F230" s="63"/>
      <c r="G230" s="51">
        <f>G231</f>
        <v>443465.65</v>
      </c>
      <c r="H230" s="51">
        <f>H231</f>
        <v>0</v>
      </c>
      <c r="I230" s="65">
        <f>I231</f>
        <v>0</v>
      </c>
    </row>
    <row r="231" spans="1:9" ht="40.5" customHeight="1">
      <c r="A231" s="12" t="s">
        <v>353</v>
      </c>
      <c r="B231" s="63" t="s">
        <v>17</v>
      </c>
      <c r="C231" s="63" t="s">
        <v>34</v>
      </c>
      <c r="D231" s="63" t="s">
        <v>34</v>
      </c>
      <c r="E231" s="30" t="s">
        <v>160</v>
      </c>
      <c r="F231" s="63"/>
      <c r="G231" s="53">
        <f>G232+G233</f>
        <v>443465.65</v>
      </c>
      <c r="H231" s="53">
        <f>H232+H233</f>
        <v>0</v>
      </c>
      <c r="I231" s="53">
        <f>I232+I233</f>
        <v>0</v>
      </c>
    </row>
    <row r="232" spans="1:9">
      <c r="A232" s="12" t="s">
        <v>37</v>
      </c>
      <c r="B232" s="63" t="s">
        <v>17</v>
      </c>
      <c r="C232" s="63" t="s">
        <v>34</v>
      </c>
      <c r="D232" s="63" t="s">
        <v>34</v>
      </c>
      <c r="E232" s="30" t="s">
        <v>160</v>
      </c>
      <c r="F232" s="63" t="s">
        <v>38</v>
      </c>
      <c r="G232" s="23">
        <f>205100+37270-48904.35</f>
        <v>193465.65</v>
      </c>
      <c r="H232" s="23">
        <v>0</v>
      </c>
      <c r="I232" s="23">
        <v>0</v>
      </c>
    </row>
    <row r="233" spans="1:9">
      <c r="A233" s="12" t="s">
        <v>53</v>
      </c>
      <c r="B233" s="63" t="s">
        <v>17</v>
      </c>
      <c r="C233" s="63" t="s">
        <v>34</v>
      </c>
      <c r="D233" s="63" t="s">
        <v>34</v>
      </c>
      <c r="E233" s="30" t="s">
        <v>160</v>
      </c>
      <c r="F233" s="63" t="s">
        <v>54</v>
      </c>
      <c r="G233" s="23">
        <f>200000+50000</f>
        <v>250000</v>
      </c>
      <c r="H233" s="23">
        <v>0</v>
      </c>
      <c r="I233" s="23">
        <v>0</v>
      </c>
    </row>
    <row r="234" spans="1:9" ht="25.5">
      <c r="A234" s="12" t="s">
        <v>163</v>
      </c>
      <c r="B234" s="13" t="s">
        <v>17</v>
      </c>
      <c r="C234" s="13" t="s">
        <v>100</v>
      </c>
      <c r="D234" s="13" t="s">
        <v>72</v>
      </c>
      <c r="E234" s="13"/>
      <c r="F234" s="13"/>
      <c r="G234" s="51">
        <f>G235</f>
        <v>456233.61</v>
      </c>
      <c r="H234" s="51">
        <f>H235</f>
        <v>334600</v>
      </c>
      <c r="I234" s="65">
        <f>I235</f>
        <v>334600</v>
      </c>
    </row>
    <row r="235" spans="1:9" ht="51">
      <c r="A235" s="12" t="s">
        <v>164</v>
      </c>
      <c r="B235" s="13" t="s">
        <v>17</v>
      </c>
      <c r="C235" s="13" t="s">
        <v>100</v>
      </c>
      <c r="D235" s="13" t="s">
        <v>72</v>
      </c>
      <c r="E235" s="13" t="s">
        <v>165</v>
      </c>
      <c r="F235" s="13"/>
      <c r="G235" s="51">
        <f>G236+G237</f>
        <v>456233.61</v>
      </c>
      <c r="H235" s="51">
        <f>H236+H237</f>
        <v>334600</v>
      </c>
      <c r="I235" s="51">
        <f>I236+I237</f>
        <v>334600</v>
      </c>
    </row>
    <row r="236" spans="1:9">
      <c r="A236" s="12" t="s">
        <v>37</v>
      </c>
      <c r="B236" s="13" t="s">
        <v>17</v>
      </c>
      <c r="C236" s="13" t="s">
        <v>100</v>
      </c>
      <c r="D236" s="13" t="s">
        <v>72</v>
      </c>
      <c r="E236" s="13" t="s">
        <v>165</v>
      </c>
      <c r="F236" s="13" t="s">
        <v>38</v>
      </c>
      <c r="G236" s="23">
        <f>542400+44230-388000+145000+2470+57000-24300+9433.61+24300</f>
        <v>412533.61</v>
      </c>
      <c r="H236" s="23">
        <v>315900</v>
      </c>
      <c r="I236" s="23">
        <v>315900</v>
      </c>
    </row>
    <row r="237" spans="1:9">
      <c r="A237" s="12" t="s">
        <v>53</v>
      </c>
      <c r="B237" s="13" t="s">
        <v>17</v>
      </c>
      <c r="C237" s="13" t="s">
        <v>100</v>
      </c>
      <c r="D237" s="13" t="s">
        <v>72</v>
      </c>
      <c r="E237" s="13" t="s">
        <v>165</v>
      </c>
      <c r="F237" s="13" t="s">
        <v>54</v>
      </c>
      <c r="G237" s="23">
        <f>18700+25000</f>
        <v>43700</v>
      </c>
      <c r="H237" s="23">
        <v>18700</v>
      </c>
      <c r="I237" s="23">
        <v>18700</v>
      </c>
    </row>
    <row r="238" spans="1:9">
      <c r="A238" s="12" t="s">
        <v>166</v>
      </c>
      <c r="B238" s="13" t="s">
        <v>17</v>
      </c>
      <c r="C238" s="13" t="s">
        <v>167</v>
      </c>
      <c r="D238" s="13" t="s">
        <v>19</v>
      </c>
      <c r="E238" s="13"/>
      <c r="F238" s="13"/>
      <c r="G238" s="51">
        <f>G239+G241+G242+G244</f>
        <v>50827005.400000006</v>
      </c>
      <c r="H238" s="51">
        <f>H239+H242+H244</f>
        <v>54438000</v>
      </c>
      <c r="I238" s="65">
        <f>I239+I242+I244</f>
        <v>52416000</v>
      </c>
    </row>
    <row r="239" spans="1:9" ht="51">
      <c r="A239" s="12" t="s">
        <v>168</v>
      </c>
      <c r="B239" s="13" t="s">
        <v>17</v>
      </c>
      <c r="C239" s="13" t="s">
        <v>167</v>
      </c>
      <c r="D239" s="13" t="s">
        <v>19</v>
      </c>
      <c r="E239" s="13" t="s">
        <v>169</v>
      </c>
      <c r="F239" s="13"/>
      <c r="G239" s="51">
        <f>G240</f>
        <v>27150712.100000001</v>
      </c>
      <c r="H239" s="51">
        <f>H240</f>
        <v>30000000</v>
      </c>
      <c r="I239" s="51">
        <f>I240</f>
        <v>27000000</v>
      </c>
    </row>
    <row r="240" spans="1:9" ht="51">
      <c r="A240" s="12" t="s">
        <v>170</v>
      </c>
      <c r="B240" s="13" t="s">
        <v>17</v>
      </c>
      <c r="C240" s="13" t="s">
        <v>167</v>
      </c>
      <c r="D240" s="13" t="s">
        <v>19</v>
      </c>
      <c r="E240" s="13" t="s">
        <v>169</v>
      </c>
      <c r="F240" s="13" t="s">
        <v>171</v>
      </c>
      <c r="G240" s="23">
        <f>29075000-400000-394287.9-1130000</f>
        <v>27150712.100000001</v>
      </c>
      <c r="H240" s="23">
        <v>30000000</v>
      </c>
      <c r="I240" s="23">
        <f>27798900-798900</f>
        <v>27000000</v>
      </c>
    </row>
    <row r="241" spans="1:9" ht="76.5" customHeight="1">
      <c r="A241" s="12" t="s">
        <v>431</v>
      </c>
      <c r="B241" s="63" t="s">
        <v>17</v>
      </c>
      <c r="C241" s="63" t="s">
        <v>167</v>
      </c>
      <c r="D241" s="63" t="s">
        <v>19</v>
      </c>
      <c r="E241" s="63" t="s">
        <v>432</v>
      </c>
      <c r="F241" s="63" t="s">
        <v>171</v>
      </c>
      <c r="G241" s="23">
        <v>138893.29999999999</v>
      </c>
      <c r="H241" s="23">
        <v>0</v>
      </c>
      <c r="I241" s="23">
        <v>0</v>
      </c>
    </row>
    <row r="242" spans="1:9" ht="76.5">
      <c r="A242" s="12" t="s">
        <v>172</v>
      </c>
      <c r="B242" s="13" t="s">
        <v>17</v>
      </c>
      <c r="C242" s="13" t="s">
        <v>167</v>
      </c>
      <c r="D242" s="13" t="s">
        <v>19</v>
      </c>
      <c r="E242" s="13" t="s">
        <v>173</v>
      </c>
      <c r="F242" s="13"/>
      <c r="G242" s="51">
        <f>G243</f>
        <v>23291400</v>
      </c>
      <c r="H242" s="51">
        <f>H243</f>
        <v>24182000</v>
      </c>
      <c r="I242" s="51">
        <f>I243</f>
        <v>25150000</v>
      </c>
    </row>
    <row r="243" spans="1:9" ht="51">
      <c r="A243" s="12" t="s">
        <v>170</v>
      </c>
      <c r="B243" s="13" t="s">
        <v>17</v>
      </c>
      <c r="C243" s="13" t="s">
        <v>167</v>
      </c>
      <c r="D243" s="13" t="s">
        <v>19</v>
      </c>
      <c r="E243" s="13" t="s">
        <v>173</v>
      </c>
      <c r="F243" s="13" t="s">
        <v>171</v>
      </c>
      <c r="G243" s="23">
        <f>23169000+122400</f>
        <v>23291400</v>
      </c>
      <c r="H243" s="23">
        <v>24182000</v>
      </c>
      <c r="I243" s="23">
        <v>25150000</v>
      </c>
    </row>
    <row r="244" spans="1:9" ht="76.5">
      <c r="A244" s="12" t="s">
        <v>174</v>
      </c>
      <c r="B244" s="13" t="s">
        <v>17</v>
      </c>
      <c r="C244" s="13" t="s">
        <v>167</v>
      </c>
      <c r="D244" s="13" t="s">
        <v>19</v>
      </c>
      <c r="E244" s="13" t="s">
        <v>175</v>
      </c>
      <c r="F244" s="13"/>
      <c r="G244" s="51">
        <f>G245</f>
        <v>246000</v>
      </c>
      <c r="H244" s="51">
        <f>H245</f>
        <v>256000</v>
      </c>
      <c r="I244" s="51">
        <f>I245</f>
        <v>266000</v>
      </c>
    </row>
    <row r="245" spans="1:9" ht="51">
      <c r="A245" s="12" t="s">
        <v>170</v>
      </c>
      <c r="B245" s="13" t="s">
        <v>17</v>
      </c>
      <c r="C245" s="13" t="s">
        <v>167</v>
      </c>
      <c r="D245" s="13" t="s">
        <v>19</v>
      </c>
      <c r="E245" s="13" t="s">
        <v>175</v>
      </c>
      <c r="F245" s="13" t="s">
        <v>171</v>
      </c>
      <c r="G245" s="23">
        <v>246000</v>
      </c>
      <c r="H245" s="23">
        <v>256000</v>
      </c>
      <c r="I245" s="23">
        <v>266000</v>
      </c>
    </row>
    <row r="246" spans="1:9">
      <c r="A246" s="12" t="s">
        <v>176</v>
      </c>
      <c r="B246" s="13" t="s">
        <v>17</v>
      </c>
      <c r="C246" s="13" t="s">
        <v>167</v>
      </c>
      <c r="D246" s="13" t="s">
        <v>20</v>
      </c>
      <c r="E246" s="13"/>
      <c r="F246" s="13"/>
      <c r="G246" s="51">
        <f>G247+G249+G250+G252+G254+G256+G258+G260+G262+G264</f>
        <v>142757252.33000001</v>
      </c>
      <c r="H246" s="51">
        <f>H247+H250+H256+H258+H260+H262+H264</f>
        <v>115846800</v>
      </c>
      <c r="I246" s="65">
        <f>I247+I250+I256+I258+I260+I262+I264</f>
        <v>115112900</v>
      </c>
    </row>
    <row r="247" spans="1:9" ht="38.25">
      <c r="A247" s="12" t="s">
        <v>177</v>
      </c>
      <c r="B247" s="13" t="s">
        <v>17</v>
      </c>
      <c r="C247" s="13" t="s">
        <v>167</v>
      </c>
      <c r="D247" s="13" t="s">
        <v>20</v>
      </c>
      <c r="E247" s="13" t="s">
        <v>178</v>
      </c>
      <c r="F247" s="13"/>
      <c r="G247" s="51">
        <f>G248</f>
        <v>34960614.810000002</v>
      </c>
      <c r="H247" s="51">
        <f>H248</f>
        <v>37800000</v>
      </c>
      <c r="I247" s="51">
        <f>I248</f>
        <v>34161900</v>
      </c>
    </row>
    <row r="248" spans="1:9" ht="51">
      <c r="A248" s="12" t="s">
        <v>170</v>
      </c>
      <c r="B248" s="13" t="s">
        <v>17</v>
      </c>
      <c r="C248" s="13" t="s">
        <v>167</v>
      </c>
      <c r="D248" s="13" t="s">
        <v>20</v>
      </c>
      <c r="E248" s="13" t="s">
        <v>178</v>
      </c>
      <c r="F248" s="13" t="s">
        <v>171</v>
      </c>
      <c r="G248" s="23">
        <f>32118000+173800+968098+449359.21+156380-300000+614977.6+80000+700000</f>
        <v>34960614.810000002</v>
      </c>
      <c r="H248" s="23">
        <v>37800000</v>
      </c>
      <c r="I248" s="23">
        <v>34161900</v>
      </c>
    </row>
    <row r="249" spans="1:9" ht="75.75" customHeight="1">
      <c r="A249" s="12" t="s">
        <v>433</v>
      </c>
      <c r="B249" s="63" t="s">
        <v>17</v>
      </c>
      <c r="C249" s="63" t="s">
        <v>167</v>
      </c>
      <c r="D249" s="63" t="s">
        <v>20</v>
      </c>
      <c r="E249" s="63" t="s">
        <v>434</v>
      </c>
      <c r="F249" s="63" t="s">
        <v>171</v>
      </c>
      <c r="G249" s="23">
        <v>254536.02</v>
      </c>
      <c r="H249" s="23">
        <v>0</v>
      </c>
      <c r="I249" s="23">
        <v>0</v>
      </c>
    </row>
    <row r="250" spans="1:9" ht="25.5">
      <c r="A250" s="34" t="s">
        <v>319</v>
      </c>
      <c r="B250" s="30" t="s">
        <v>17</v>
      </c>
      <c r="C250" s="30" t="s">
        <v>167</v>
      </c>
      <c r="D250" s="30" t="s">
        <v>20</v>
      </c>
      <c r="E250" s="44" t="s">
        <v>355</v>
      </c>
      <c r="F250" s="31"/>
      <c r="G250" s="51">
        <f>G251</f>
        <v>17688400</v>
      </c>
      <c r="H250" s="51">
        <f>H251+H253</f>
        <v>0</v>
      </c>
      <c r="I250" s="51">
        <f>I251+I253</f>
        <v>0</v>
      </c>
    </row>
    <row r="251" spans="1:9">
      <c r="A251" s="12" t="s">
        <v>37</v>
      </c>
      <c r="B251" s="30" t="s">
        <v>17</v>
      </c>
      <c r="C251" s="30" t="s">
        <v>167</v>
      </c>
      <c r="D251" s="30" t="s">
        <v>20</v>
      </c>
      <c r="E251" s="44" t="s">
        <v>355</v>
      </c>
      <c r="F251" s="44" t="s">
        <v>38</v>
      </c>
      <c r="G251" s="23">
        <v>17688400</v>
      </c>
      <c r="H251" s="23">
        <v>0</v>
      </c>
      <c r="I251" s="23">
        <v>0</v>
      </c>
    </row>
    <row r="252" spans="1:9" ht="38.25">
      <c r="A252" s="34" t="s">
        <v>359</v>
      </c>
      <c r="B252" s="44" t="s">
        <v>17</v>
      </c>
      <c r="C252" s="44" t="s">
        <v>167</v>
      </c>
      <c r="D252" s="44" t="s">
        <v>20</v>
      </c>
      <c r="E252" s="44" t="s">
        <v>356</v>
      </c>
      <c r="F252" s="44"/>
      <c r="G252" s="51">
        <f>G253</f>
        <v>14472301.5</v>
      </c>
      <c r="H252" s="51">
        <v>0</v>
      </c>
      <c r="I252" s="51">
        <v>0</v>
      </c>
    </row>
    <row r="253" spans="1:9">
      <c r="A253" s="12" t="s">
        <v>37</v>
      </c>
      <c r="B253" s="44" t="s">
        <v>17</v>
      </c>
      <c r="C253" s="44" t="s">
        <v>167</v>
      </c>
      <c r="D253" s="44" t="s">
        <v>20</v>
      </c>
      <c r="E253" s="44" t="s">
        <v>356</v>
      </c>
      <c r="F253" s="44" t="s">
        <v>38</v>
      </c>
      <c r="G253" s="23">
        <f>21472300-7000000+1.5</f>
        <v>14472301.5</v>
      </c>
      <c r="H253" s="23">
        <v>0</v>
      </c>
      <c r="I253" s="23">
        <v>0</v>
      </c>
    </row>
    <row r="254" spans="1:9" ht="38.25">
      <c r="A254" s="34" t="s">
        <v>374</v>
      </c>
      <c r="B254" s="44" t="s">
        <v>17</v>
      </c>
      <c r="C254" s="44" t="s">
        <v>167</v>
      </c>
      <c r="D254" s="44" t="s">
        <v>20</v>
      </c>
      <c r="E254" s="44"/>
      <c r="F254" s="44"/>
      <c r="G254" s="51">
        <f>G255</f>
        <v>10000</v>
      </c>
      <c r="H254" s="51">
        <f>H255</f>
        <v>0</v>
      </c>
      <c r="I254" s="51">
        <f>I255</f>
        <v>0</v>
      </c>
    </row>
    <row r="255" spans="1:9">
      <c r="A255" s="12" t="s">
        <v>37</v>
      </c>
      <c r="B255" s="44" t="s">
        <v>17</v>
      </c>
      <c r="C255" s="44" t="s">
        <v>167</v>
      </c>
      <c r="D255" s="44" t="s">
        <v>20</v>
      </c>
      <c r="E255" s="44" t="s">
        <v>375</v>
      </c>
      <c r="F255" s="44" t="s">
        <v>38</v>
      </c>
      <c r="G255" s="23">
        <f>7000000-1.5+1.5-6990000</f>
        <v>10000</v>
      </c>
      <c r="H255" s="23">
        <v>0</v>
      </c>
      <c r="I255" s="23">
        <v>0</v>
      </c>
    </row>
    <row r="256" spans="1:9" ht="39" customHeight="1">
      <c r="A256" s="12" t="s">
        <v>179</v>
      </c>
      <c r="B256" s="13" t="s">
        <v>17</v>
      </c>
      <c r="C256" s="13" t="s">
        <v>167</v>
      </c>
      <c r="D256" s="13" t="s">
        <v>20</v>
      </c>
      <c r="E256" s="63" t="s">
        <v>386</v>
      </c>
      <c r="F256" s="13"/>
      <c r="G256" s="51">
        <f>G257</f>
        <v>4672000</v>
      </c>
      <c r="H256" s="51">
        <f>H257</f>
        <v>4672000</v>
      </c>
      <c r="I256" s="51">
        <f>I257</f>
        <v>4672000</v>
      </c>
    </row>
    <row r="257" spans="1:9">
      <c r="A257" s="12" t="s">
        <v>180</v>
      </c>
      <c r="B257" s="13" t="s">
        <v>17</v>
      </c>
      <c r="C257" s="13" t="s">
        <v>167</v>
      </c>
      <c r="D257" s="13" t="s">
        <v>20</v>
      </c>
      <c r="E257" s="63" t="s">
        <v>386</v>
      </c>
      <c r="F257" s="13" t="s">
        <v>181</v>
      </c>
      <c r="G257" s="23">
        <v>4672000</v>
      </c>
      <c r="H257" s="23">
        <v>4672000</v>
      </c>
      <c r="I257" s="23">
        <v>4672000</v>
      </c>
    </row>
    <row r="258" spans="1:9" ht="76.5">
      <c r="A258" s="12" t="s">
        <v>182</v>
      </c>
      <c r="B258" s="13" t="s">
        <v>17</v>
      </c>
      <c r="C258" s="13" t="s">
        <v>167</v>
      </c>
      <c r="D258" s="13" t="s">
        <v>20</v>
      </c>
      <c r="E258" s="13" t="s">
        <v>183</v>
      </c>
      <c r="F258" s="13"/>
      <c r="G258" s="51">
        <f>G259</f>
        <v>61942800</v>
      </c>
      <c r="H258" s="51">
        <f>H259</f>
        <v>64385000</v>
      </c>
      <c r="I258" s="51">
        <f>I259</f>
        <v>66959000</v>
      </c>
    </row>
    <row r="259" spans="1:9" ht="51">
      <c r="A259" s="12" t="s">
        <v>170</v>
      </c>
      <c r="B259" s="13" t="s">
        <v>17</v>
      </c>
      <c r="C259" s="13" t="s">
        <v>167</v>
      </c>
      <c r="D259" s="13" t="s">
        <v>20</v>
      </c>
      <c r="E259" s="13" t="s">
        <v>183</v>
      </c>
      <c r="F259" s="13" t="s">
        <v>171</v>
      </c>
      <c r="G259" s="23">
        <f>61776000+166800</f>
        <v>61942800</v>
      </c>
      <c r="H259" s="23">
        <v>64385000</v>
      </c>
      <c r="I259" s="23">
        <v>66959000</v>
      </c>
    </row>
    <row r="260" spans="1:9" ht="127.5">
      <c r="A260" s="12" t="s">
        <v>184</v>
      </c>
      <c r="B260" s="13" t="s">
        <v>17</v>
      </c>
      <c r="C260" s="13" t="s">
        <v>167</v>
      </c>
      <c r="D260" s="13" t="s">
        <v>20</v>
      </c>
      <c r="E260" s="13" t="s">
        <v>185</v>
      </c>
      <c r="F260" s="13"/>
      <c r="G260" s="51">
        <f>G261</f>
        <v>2112000</v>
      </c>
      <c r="H260" s="51">
        <f>H261</f>
        <v>2195000</v>
      </c>
      <c r="I260" s="51">
        <f>I261</f>
        <v>2284000</v>
      </c>
    </row>
    <row r="261" spans="1:9" ht="51">
      <c r="A261" s="12" t="s">
        <v>170</v>
      </c>
      <c r="B261" s="13" t="s">
        <v>17</v>
      </c>
      <c r="C261" s="13" t="s">
        <v>167</v>
      </c>
      <c r="D261" s="13" t="s">
        <v>20</v>
      </c>
      <c r="E261" s="13" t="s">
        <v>185</v>
      </c>
      <c r="F261" s="13" t="s">
        <v>171</v>
      </c>
      <c r="G261" s="23">
        <v>2112000</v>
      </c>
      <c r="H261" s="23">
        <v>2195000</v>
      </c>
      <c r="I261" s="23">
        <v>2284000</v>
      </c>
    </row>
    <row r="262" spans="1:9" ht="38.25">
      <c r="A262" s="12" t="s">
        <v>186</v>
      </c>
      <c r="B262" s="13" t="s">
        <v>17</v>
      </c>
      <c r="C262" s="13" t="s">
        <v>167</v>
      </c>
      <c r="D262" s="13" t="s">
        <v>20</v>
      </c>
      <c r="E262" s="13" t="s">
        <v>187</v>
      </c>
      <c r="F262" s="13"/>
      <c r="G262" s="51">
        <f>G263</f>
        <v>3518000</v>
      </c>
      <c r="H262" s="51">
        <f>H263</f>
        <v>3668000</v>
      </c>
      <c r="I262" s="51">
        <f>I263</f>
        <v>3817000</v>
      </c>
    </row>
    <row r="263" spans="1:9" ht="51">
      <c r="A263" s="12" t="s">
        <v>170</v>
      </c>
      <c r="B263" s="13" t="s">
        <v>17</v>
      </c>
      <c r="C263" s="13" t="s">
        <v>167</v>
      </c>
      <c r="D263" s="13" t="s">
        <v>20</v>
      </c>
      <c r="E263" s="13" t="s">
        <v>187</v>
      </c>
      <c r="F263" s="13" t="s">
        <v>171</v>
      </c>
      <c r="G263" s="23">
        <f>3564000-46000-270000+270000</f>
        <v>3518000</v>
      </c>
      <c r="H263" s="23">
        <v>3668000</v>
      </c>
      <c r="I263" s="23">
        <v>3817000</v>
      </c>
    </row>
    <row r="264" spans="1:9" ht="51">
      <c r="A264" s="12" t="s">
        <v>188</v>
      </c>
      <c r="B264" s="13" t="s">
        <v>17</v>
      </c>
      <c r="C264" s="13" t="s">
        <v>167</v>
      </c>
      <c r="D264" s="13" t="s">
        <v>20</v>
      </c>
      <c r="E264" s="43" t="s">
        <v>339</v>
      </c>
      <c r="F264" s="13"/>
      <c r="G264" s="51">
        <f>G265</f>
        <v>3126600</v>
      </c>
      <c r="H264" s="51">
        <f>H265</f>
        <v>3126800</v>
      </c>
      <c r="I264" s="51">
        <f>I265</f>
        <v>3219000</v>
      </c>
    </row>
    <row r="265" spans="1:9">
      <c r="A265" s="12" t="s">
        <v>180</v>
      </c>
      <c r="B265" s="13" t="s">
        <v>17</v>
      </c>
      <c r="C265" s="13" t="s">
        <v>167</v>
      </c>
      <c r="D265" s="13" t="s">
        <v>20</v>
      </c>
      <c r="E265" s="43" t="s">
        <v>339</v>
      </c>
      <c r="F265" s="13" t="s">
        <v>181</v>
      </c>
      <c r="G265" s="23">
        <v>3126600</v>
      </c>
      <c r="H265" s="23">
        <v>3126800</v>
      </c>
      <c r="I265" s="23">
        <v>3219000</v>
      </c>
    </row>
    <row r="266" spans="1:9">
      <c r="A266" s="12" t="s">
        <v>189</v>
      </c>
      <c r="B266" s="13" t="s">
        <v>17</v>
      </c>
      <c r="C266" s="13" t="s">
        <v>167</v>
      </c>
      <c r="D266" s="13" t="s">
        <v>72</v>
      </c>
      <c r="E266" s="13"/>
      <c r="F266" s="13"/>
      <c r="G266" s="51">
        <f>G267+G269</f>
        <v>8822798.7100000009</v>
      </c>
      <c r="H266" s="51">
        <f t="shared" ref="G266:I267" si="4">H267</f>
        <v>9000000</v>
      </c>
      <c r="I266" s="65">
        <f t="shared" si="4"/>
        <v>9099400</v>
      </c>
    </row>
    <row r="267" spans="1:9" ht="38.25">
      <c r="A267" s="12" t="s">
        <v>190</v>
      </c>
      <c r="B267" s="13" t="s">
        <v>17</v>
      </c>
      <c r="C267" s="13" t="s">
        <v>167</v>
      </c>
      <c r="D267" s="13" t="s">
        <v>72</v>
      </c>
      <c r="E267" s="13" t="s">
        <v>191</v>
      </c>
      <c r="F267" s="13"/>
      <c r="G267" s="51">
        <f t="shared" si="4"/>
        <v>8756900</v>
      </c>
      <c r="H267" s="51">
        <f t="shared" si="4"/>
        <v>9000000</v>
      </c>
      <c r="I267" s="51">
        <f t="shared" si="4"/>
        <v>9099400</v>
      </c>
    </row>
    <row r="268" spans="1:9" ht="51">
      <c r="A268" s="12" t="s">
        <v>170</v>
      </c>
      <c r="B268" s="13" t="s">
        <v>17</v>
      </c>
      <c r="C268" s="13" t="s">
        <v>167</v>
      </c>
      <c r="D268" s="13" t="s">
        <v>72</v>
      </c>
      <c r="E268" s="13" t="s">
        <v>191</v>
      </c>
      <c r="F268" s="13" t="s">
        <v>171</v>
      </c>
      <c r="G268" s="23">
        <f>8794900-38000</f>
        <v>8756900</v>
      </c>
      <c r="H268" s="23">
        <v>9000000</v>
      </c>
      <c r="I268" s="23">
        <v>9099400</v>
      </c>
    </row>
    <row r="269" spans="1:9" ht="81.75" customHeight="1">
      <c r="A269" s="12" t="s">
        <v>435</v>
      </c>
      <c r="B269" s="63" t="s">
        <v>17</v>
      </c>
      <c r="C269" s="63" t="s">
        <v>167</v>
      </c>
      <c r="D269" s="63" t="s">
        <v>72</v>
      </c>
      <c r="E269" s="63" t="s">
        <v>436</v>
      </c>
      <c r="F269" s="63" t="s">
        <v>171</v>
      </c>
      <c r="G269" s="23">
        <v>65898.710000000006</v>
      </c>
      <c r="H269" s="23">
        <v>0</v>
      </c>
      <c r="I269" s="23">
        <v>0</v>
      </c>
    </row>
    <row r="270" spans="1:9">
      <c r="A270" s="12" t="s">
        <v>192</v>
      </c>
      <c r="B270" s="13" t="s">
        <v>17</v>
      </c>
      <c r="C270" s="13" t="s">
        <v>167</v>
      </c>
      <c r="D270" s="13" t="s">
        <v>167</v>
      </c>
      <c r="E270" s="13"/>
      <c r="F270" s="13"/>
      <c r="G270" s="51">
        <f>G271+G273+G275+G277+G279</f>
        <v>88600</v>
      </c>
      <c r="H270" s="51">
        <f>H271+H273+H275+H277+H279</f>
        <v>60600</v>
      </c>
      <c r="I270" s="65">
        <f>I271+I273+I275+I277+I279</f>
        <v>62200</v>
      </c>
    </row>
    <row r="271" spans="1:9" ht="102">
      <c r="A271" s="12" t="s">
        <v>193</v>
      </c>
      <c r="B271" s="40" t="s">
        <v>17</v>
      </c>
      <c r="C271" s="40" t="s">
        <v>167</v>
      </c>
      <c r="D271" s="40" t="s">
        <v>167</v>
      </c>
      <c r="E271" s="40" t="s">
        <v>194</v>
      </c>
      <c r="F271" s="40"/>
      <c r="G271" s="51">
        <f>G272</f>
        <v>45000</v>
      </c>
      <c r="H271" s="51">
        <f>H272</f>
        <v>0</v>
      </c>
      <c r="I271" s="51">
        <f>I272</f>
        <v>0</v>
      </c>
    </row>
    <row r="272" spans="1:9">
      <c r="A272" s="12" t="s">
        <v>37</v>
      </c>
      <c r="B272" s="40" t="s">
        <v>17</v>
      </c>
      <c r="C272" s="40" t="s">
        <v>167</v>
      </c>
      <c r="D272" s="40" t="s">
        <v>167</v>
      </c>
      <c r="E272" s="40" t="s">
        <v>194</v>
      </c>
      <c r="F272" s="40" t="s">
        <v>171</v>
      </c>
      <c r="G272" s="23">
        <f>50000-5000</f>
        <v>45000</v>
      </c>
      <c r="H272" s="23">
        <v>0</v>
      </c>
      <c r="I272" s="23">
        <v>0</v>
      </c>
    </row>
    <row r="273" spans="1:13" ht="38.25">
      <c r="A273" s="12" t="s">
        <v>202</v>
      </c>
      <c r="B273" s="13" t="s">
        <v>17</v>
      </c>
      <c r="C273" s="13" t="s">
        <v>167</v>
      </c>
      <c r="D273" s="13" t="s">
        <v>167</v>
      </c>
      <c r="E273" s="13" t="s">
        <v>203</v>
      </c>
      <c r="F273" s="13"/>
      <c r="G273" s="51">
        <f>G274</f>
        <v>19300</v>
      </c>
      <c r="H273" s="51">
        <f>H274</f>
        <v>14000</v>
      </c>
      <c r="I273" s="51">
        <f>I274</f>
        <v>14300</v>
      </c>
    </row>
    <row r="274" spans="1:13">
      <c r="A274" s="12" t="s">
        <v>37</v>
      </c>
      <c r="B274" s="13" t="s">
        <v>17</v>
      </c>
      <c r="C274" s="13" t="s">
        <v>167</v>
      </c>
      <c r="D274" s="13" t="s">
        <v>167</v>
      </c>
      <c r="E274" s="13" t="s">
        <v>203</v>
      </c>
      <c r="F274" s="13" t="s">
        <v>38</v>
      </c>
      <c r="G274" s="23">
        <f>2500+16800</f>
        <v>19300</v>
      </c>
      <c r="H274" s="23">
        <v>14000</v>
      </c>
      <c r="I274" s="23">
        <v>14300</v>
      </c>
    </row>
    <row r="275" spans="1:13" ht="25.5">
      <c r="A275" s="12" t="s">
        <v>204</v>
      </c>
      <c r="B275" s="13" t="s">
        <v>17</v>
      </c>
      <c r="C275" s="13" t="s">
        <v>167</v>
      </c>
      <c r="D275" s="13" t="s">
        <v>167</v>
      </c>
      <c r="E275" s="13" t="s">
        <v>205</v>
      </c>
      <c r="F275" s="13"/>
      <c r="G275" s="51">
        <f>G276</f>
        <v>21800</v>
      </c>
      <c r="H275" s="51">
        <f>H276</f>
        <v>20400</v>
      </c>
      <c r="I275" s="51">
        <f>I276</f>
        <v>20900</v>
      </c>
    </row>
    <row r="276" spans="1:13">
      <c r="A276" s="12" t="s">
        <v>37</v>
      </c>
      <c r="B276" s="13" t="s">
        <v>17</v>
      </c>
      <c r="C276" s="13" t="s">
        <v>167</v>
      </c>
      <c r="D276" s="13" t="s">
        <v>167</v>
      </c>
      <c r="E276" s="13" t="s">
        <v>205</v>
      </c>
      <c r="F276" s="13" t="s">
        <v>38</v>
      </c>
      <c r="G276" s="23">
        <f>2500+19300</f>
        <v>21800</v>
      </c>
      <c r="H276" s="23">
        <v>20400</v>
      </c>
      <c r="I276" s="23">
        <v>20900</v>
      </c>
    </row>
    <row r="277" spans="1:13" ht="38.25">
      <c r="A277" s="12" t="s">
        <v>206</v>
      </c>
      <c r="B277" s="13" t="s">
        <v>17</v>
      </c>
      <c r="C277" s="13" t="s">
        <v>167</v>
      </c>
      <c r="D277" s="13" t="s">
        <v>167</v>
      </c>
      <c r="E277" s="13" t="s">
        <v>207</v>
      </c>
      <c r="F277" s="13"/>
      <c r="G277" s="51">
        <f>G278</f>
        <v>2500</v>
      </c>
      <c r="H277" s="51">
        <f>H278</f>
        <v>16200</v>
      </c>
      <c r="I277" s="51">
        <f>I278</f>
        <v>17000</v>
      </c>
    </row>
    <row r="278" spans="1:13">
      <c r="A278" s="12" t="s">
        <v>37</v>
      </c>
      <c r="B278" s="13" t="s">
        <v>17</v>
      </c>
      <c r="C278" s="13" t="s">
        <v>167</v>
      </c>
      <c r="D278" s="13" t="s">
        <v>167</v>
      </c>
      <c r="E278" s="13" t="s">
        <v>207</v>
      </c>
      <c r="F278" s="13" t="s">
        <v>38</v>
      </c>
      <c r="G278" s="23">
        <v>2500</v>
      </c>
      <c r="H278" s="23">
        <v>16200</v>
      </c>
      <c r="I278" s="23">
        <v>17000</v>
      </c>
    </row>
    <row r="279" spans="1:13" ht="38.25">
      <c r="A279" s="12" t="s">
        <v>208</v>
      </c>
      <c r="B279" s="13" t="s">
        <v>17</v>
      </c>
      <c r="C279" s="13" t="s">
        <v>167</v>
      </c>
      <c r="D279" s="13" t="s">
        <v>167</v>
      </c>
      <c r="E279" s="13" t="s">
        <v>209</v>
      </c>
      <c r="F279" s="13"/>
      <c r="G279" s="51">
        <f>G280</f>
        <v>0</v>
      </c>
      <c r="H279" s="51">
        <f>H280</f>
        <v>10000</v>
      </c>
      <c r="I279" s="51">
        <f>I280</f>
        <v>10000</v>
      </c>
    </row>
    <row r="280" spans="1:13">
      <c r="A280" s="12" t="s">
        <v>37</v>
      </c>
      <c r="B280" s="13" t="s">
        <v>17</v>
      </c>
      <c r="C280" s="13" t="s">
        <v>167</v>
      </c>
      <c r="D280" s="13" t="s">
        <v>167</v>
      </c>
      <c r="E280" s="13" t="s">
        <v>209</v>
      </c>
      <c r="F280" s="13" t="s">
        <v>38</v>
      </c>
      <c r="G280" s="23">
        <v>0</v>
      </c>
      <c r="H280" s="23">
        <v>10000</v>
      </c>
      <c r="I280" s="23">
        <v>10000</v>
      </c>
    </row>
    <row r="281" spans="1:13">
      <c r="A281" s="12" t="s">
        <v>210</v>
      </c>
      <c r="B281" s="13" t="s">
        <v>17</v>
      </c>
      <c r="C281" s="13" t="s">
        <v>167</v>
      </c>
      <c r="D281" s="13" t="s">
        <v>76</v>
      </c>
      <c r="E281" s="13"/>
      <c r="F281" s="13"/>
      <c r="G281" s="51">
        <f>G282+G284+G286+G289+G292+G296+G300+G302+G304+G306+G308+G310+G312+G314+G316+G318+G321+G323</f>
        <v>6449589.4100000001</v>
      </c>
      <c r="H281" s="51">
        <f>H282+H284+H286+H289+H292+H296+H302+H304+H306+H308+H310+H312+H314+H316+H318</f>
        <v>4485500</v>
      </c>
      <c r="I281" s="65">
        <f>I282+I284+I286+I289+I292+I296+I302+I304+I306+I308+I310+I312+I314+I316+I318</f>
        <v>4660500</v>
      </c>
    </row>
    <row r="282" spans="1:13" ht="38.25">
      <c r="A282" s="12" t="s">
        <v>211</v>
      </c>
      <c r="B282" s="13" t="s">
        <v>17</v>
      </c>
      <c r="C282" s="13" t="s">
        <v>167</v>
      </c>
      <c r="D282" s="13" t="s">
        <v>76</v>
      </c>
      <c r="E282" s="13" t="s">
        <v>212</v>
      </c>
      <c r="F282" s="13"/>
      <c r="G282" s="51">
        <f>G283</f>
        <v>2500</v>
      </c>
      <c r="H282" s="51">
        <f>H283</f>
        <v>19400</v>
      </c>
      <c r="I282" s="51">
        <f>I283</f>
        <v>20100</v>
      </c>
    </row>
    <row r="283" spans="1:13">
      <c r="A283" s="12" t="s">
        <v>37</v>
      </c>
      <c r="B283" s="13" t="s">
        <v>17</v>
      </c>
      <c r="C283" s="13" t="s">
        <v>167</v>
      </c>
      <c r="D283" s="13" t="s">
        <v>76</v>
      </c>
      <c r="E283" s="13" t="s">
        <v>212</v>
      </c>
      <c r="F283" s="13" t="s">
        <v>38</v>
      </c>
      <c r="G283" s="23">
        <v>2500</v>
      </c>
      <c r="H283" s="23">
        <v>19400</v>
      </c>
      <c r="I283" s="23">
        <v>20100</v>
      </c>
    </row>
    <row r="284" spans="1:13" ht="51">
      <c r="A284" s="12" t="s">
        <v>213</v>
      </c>
      <c r="B284" s="13" t="s">
        <v>17</v>
      </c>
      <c r="C284" s="13" t="s">
        <v>167</v>
      </c>
      <c r="D284" s="13" t="s">
        <v>76</v>
      </c>
      <c r="E284" s="13" t="s">
        <v>214</v>
      </c>
      <c r="F284" s="13"/>
      <c r="G284" s="51">
        <f>G285</f>
        <v>0</v>
      </c>
      <c r="H284" s="51">
        <f>H285</f>
        <v>2600</v>
      </c>
      <c r="I284" s="51">
        <f>I285</f>
        <v>2600</v>
      </c>
    </row>
    <row r="285" spans="1:13">
      <c r="A285" s="12" t="s">
        <v>37</v>
      </c>
      <c r="B285" s="13" t="s">
        <v>17</v>
      </c>
      <c r="C285" s="13" t="s">
        <v>167</v>
      </c>
      <c r="D285" s="13" t="s">
        <v>76</v>
      </c>
      <c r="E285" s="13" t="s">
        <v>214</v>
      </c>
      <c r="F285" s="13" t="s">
        <v>38</v>
      </c>
      <c r="G285" s="23">
        <f>2000-2000</f>
        <v>0</v>
      </c>
      <c r="H285" s="23">
        <v>2600</v>
      </c>
      <c r="I285" s="23">
        <v>2600</v>
      </c>
      <c r="M285" s="1" t="s">
        <v>309</v>
      </c>
    </row>
    <row r="286" spans="1:13" ht="76.5">
      <c r="A286" s="12" t="s">
        <v>196</v>
      </c>
      <c r="B286" s="63" t="s">
        <v>17</v>
      </c>
      <c r="C286" s="63" t="s">
        <v>167</v>
      </c>
      <c r="D286" s="63" t="s">
        <v>76</v>
      </c>
      <c r="E286" s="63" t="s">
        <v>197</v>
      </c>
      <c r="F286" s="63"/>
      <c r="G286" s="51">
        <f>G287+G288</f>
        <v>211400</v>
      </c>
      <c r="H286" s="51">
        <f>H287+H288</f>
        <v>219800</v>
      </c>
      <c r="I286" s="51">
        <f>I287+I288</f>
        <v>228600</v>
      </c>
    </row>
    <row r="287" spans="1:13">
      <c r="A287" s="12" t="s">
        <v>37</v>
      </c>
      <c r="B287" s="30" t="s">
        <v>17</v>
      </c>
      <c r="C287" s="30" t="s">
        <v>167</v>
      </c>
      <c r="D287" s="44" t="s">
        <v>76</v>
      </c>
      <c r="E287" s="30" t="s">
        <v>197</v>
      </c>
      <c r="F287" s="30" t="s">
        <v>38</v>
      </c>
      <c r="G287" s="23">
        <f>12000-40</f>
        <v>11960</v>
      </c>
      <c r="H287" s="23">
        <v>12400</v>
      </c>
      <c r="I287" s="23">
        <v>12900</v>
      </c>
    </row>
    <row r="288" spans="1:13" ht="51">
      <c r="A288" s="12" t="s">
        <v>170</v>
      </c>
      <c r="B288" s="63" t="s">
        <v>17</v>
      </c>
      <c r="C288" s="63" t="s">
        <v>167</v>
      </c>
      <c r="D288" s="63" t="s">
        <v>76</v>
      </c>
      <c r="E288" s="43" t="s">
        <v>197</v>
      </c>
      <c r="F288" s="63" t="s">
        <v>171</v>
      </c>
      <c r="G288" s="23">
        <f>199400+40</f>
        <v>199440</v>
      </c>
      <c r="H288" s="23">
        <v>207400</v>
      </c>
      <c r="I288" s="23">
        <v>215700</v>
      </c>
    </row>
    <row r="289" spans="1:13" ht="38.25">
      <c r="A289" s="12" t="s">
        <v>198</v>
      </c>
      <c r="B289" s="63" t="s">
        <v>17</v>
      </c>
      <c r="C289" s="63" t="s">
        <v>167</v>
      </c>
      <c r="D289" s="63" t="s">
        <v>76</v>
      </c>
      <c r="E289" s="63" t="s">
        <v>199</v>
      </c>
      <c r="F289" s="63"/>
      <c r="G289" s="51">
        <f>G290+G291</f>
        <v>1720300</v>
      </c>
      <c r="H289" s="51">
        <f>H290+H291</f>
        <v>1789100</v>
      </c>
      <c r="I289" s="51">
        <f>I290+I291</f>
        <v>1860700</v>
      </c>
    </row>
    <row r="290" spans="1:13">
      <c r="A290" s="12" t="s">
        <v>37</v>
      </c>
      <c r="B290" s="63" t="s">
        <v>17</v>
      </c>
      <c r="C290" s="63" t="s">
        <v>167</v>
      </c>
      <c r="D290" s="63" t="s">
        <v>76</v>
      </c>
      <c r="E290" s="63" t="s">
        <v>199</v>
      </c>
      <c r="F290" s="63" t="s">
        <v>38</v>
      </c>
      <c r="G290" s="23">
        <f>891700-45000+45000</f>
        <v>891700</v>
      </c>
      <c r="H290" s="23">
        <v>927300</v>
      </c>
      <c r="I290" s="23">
        <v>964500</v>
      </c>
    </row>
    <row r="291" spans="1:13" ht="51">
      <c r="A291" s="12" t="s">
        <v>170</v>
      </c>
      <c r="B291" s="63" t="s">
        <v>17</v>
      </c>
      <c r="C291" s="63" t="s">
        <v>167</v>
      </c>
      <c r="D291" s="63" t="s">
        <v>76</v>
      </c>
      <c r="E291" s="63" t="s">
        <v>199</v>
      </c>
      <c r="F291" s="63" t="s">
        <v>171</v>
      </c>
      <c r="G291" s="23">
        <v>828600</v>
      </c>
      <c r="H291" s="23">
        <v>861800</v>
      </c>
      <c r="I291" s="23">
        <v>896200</v>
      </c>
    </row>
    <row r="292" spans="1:13" ht="38.25">
      <c r="A292" s="12" t="s">
        <v>200</v>
      </c>
      <c r="B292" s="63" t="s">
        <v>17</v>
      </c>
      <c r="C292" s="63" t="s">
        <v>167</v>
      </c>
      <c r="D292" s="63" t="s">
        <v>76</v>
      </c>
      <c r="E292" s="63" t="s">
        <v>201</v>
      </c>
      <c r="F292" s="63"/>
      <c r="G292" s="51">
        <f>G293+G294+G295</f>
        <v>2506889.41</v>
      </c>
      <c r="H292" s="51">
        <f>H293+H294</f>
        <v>1786200</v>
      </c>
      <c r="I292" s="51">
        <f>I293+I294</f>
        <v>1857900</v>
      </c>
    </row>
    <row r="293" spans="1:13">
      <c r="A293" s="12" t="s">
        <v>37</v>
      </c>
      <c r="B293" s="63" t="s">
        <v>17</v>
      </c>
      <c r="C293" s="63" t="s">
        <v>167</v>
      </c>
      <c r="D293" s="63" t="s">
        <v>76</v>
      </c>
      <c r="E293" s="63" t="s">
        <v>201</v>
      </c>
      <c r="F293" s="63" t="s">
        <v>38</v>
      </c>
      <c r="G293" s="23">
        <f>802400+552442+76800</f>
        <v>1431642</v>
      </c>
      <c r="H293" s="23">
        <v>969400</v>
      </c>
      <c r="I293" s="23">
        <v>1007900</v>
      </c>
    </row>
    <row r="294" spans="1:13" ht="51">
      <c r="A294" s="12" t="s">
        <v>170</v>
      </c>
      <c r="B294" s="63" t="s">
        <v>17</v>
      </c>
      <c r="C294" s="63" t="s">
        <v>167</v>
      </c>
      <c r="D294" s="63" t="s">
        <v>76</v>
      </c>
      <c r="E294" s="63" t="s">
        <v>201</v>
      </c>
      <c r="F294" s="63" t="s">
        <v>171</v>
      </c>
      <c r="G294" s="23">
        <f>916000+95000</f>
        <v>1011000</v>
      </c>
      <c r="H294" s="23">
        <v>816800</v>
      </c>
      <c r="I294" s="23">
        <v>850000</v>
      </c>
    </row>
    <row r="295" spans="1:13">
      <c r="A295" s="12" t="s">
        <v>336</v>
      </c>
      <c r="B295" s="63" t="s">
        <v>17</v>
      </c>
      <c r="C295" s="63" t="s">
        <v>167</v>
      </c>
      <c r="D295" s="63" t="s">
        <v>76</v>
      </c>
      <c r="E295" s="63" t="s">
        <v>201</v>
      </c>
      <c r="F295" s="63" t="s">
        <v>337</v>
      </c>
      <c r="G295" s="23">
        <v>64247.41</v>
      </c>
      <c r="H295" s="23">
        <v>0</v>
      </c>
      <c r="I295" s="23">
        <v>0</v>
      </c>
    </row>
    <row r="296" spans="1:13" ht="38.25">
      <c r="A296" s="12" t="s">
        <v>215</v>
      </c>
      <c r="B296" s="13" t="s">
        <v>17</v>
      </c>
      <c r="C296" s="13" t="s">
        <v>167</v>
      </c>
      <c r="D296" s="13" t="s">
        <v>76</v>
      </c>
      <c r="E296" s="13" t="s">
        <v>216</v>
      </c>
      <c r="F296" s="13"/>
      <c r="G296" s="51">
        <f>G297</f>
        <v>60000</v>
      </c>
      <c r="H296" s="51">
        <f>H297</f>
        <v>60000</v>
      </c>
      <c r="I296" s="51">
        <f>I297</f>
        <v>60000</v>
      </c>
    </row>
    <row r="297" spans="1:13">
      <c r="A297" s="12" t="s">
        <v>217</v>
      </c>
      <c r="B297" s="13" t="s">
        <v>17</v>
      </c>
      <c r="C297" s="13" t="s">
        <v>167</v>
      </c>
      <c r="D297" s="13" t="s">
        <v>76</v>
      </c>
      <c r="E297" s="13" t="s">
        <v>216</v>
      </c>
      <c r="F297" s="13" t="s">
        <v>218</v>
      </c>
      <c r="G297" s="23">
        <v>60000</v>
      </c>
      <c r="H297" s="23">
        <v>60000</v>
      </c>
      <c r="I297" s="23">
        <v>60000</v>
      </c>
    </row>
    <row r="298" spans="1:13" ht="51">
      <c r="A298" s="12" t="s">
        <v>380</v>
      </c>
      <c r="B298" s="63" t="s">
        <v>17</v>
      </c>
      <c r="C298" s="63" t="s">
        <v>167</v>
      </c>
      <c r="D298" s="63" t="s">
        <v>76</v>
      </c>
      <c r="E298" s="43" t="s">
        <v>383</v>
      </c>
      <c r="F298" s="63"/>
      <c r="G298" s="51">
        <f>G299</f>
        <v>0</v>
      </c>
      <c r="H298" s="23">
        <v>0</v>
      </c>
      <c r="I298" s="23">
        <v>0</v>
      </c>
    </row>
    <row r="299" spans="1:13">
      <c r="A299" s="12" t="s">
        <v>381</v>
      </c>
      <c r="B299" s="63" t="s">
        <v>17</v>
      </c>
      <c r="C299" s="63" t="s">
        <v>167</v>
      </c>
      <c r="D299" s="63" t="s">
        <v>76</v>
      </c>
      <c r="E299" s="43" t="s">
        <v>383</v>
      </c>
      <c r="F299" s="63" t="s">
        <v>181</v>
      </c>
      <c r="G299" s="23">
        <v>0</v>
      </c>
      <c r="H299" s="23">
        <v>0</v>
      </c>
      <c r="I299" s="23">
        <v>0</v>
      </c>
    </row>
    <row r="300" spans="1:13" ht="51">
      <c r="A300" s="12" t="s">
        <v>380</v>
      </c>
      <c r="B300" s="63" t="s">
        <v>17</v>
      </c>
      <c r="C300" s="63" t="s">
        <v>167</v>
      </c>
      <c r="D300" s="63" t="s">
        <v>76</v>
      </c>
      <c r="E300" s="43" t="s">
        <v>382</v>
      </c>
      <c r="F300" s="63"/>
      <c r="G300" s="51">
        <f>G301</f>
        <v>1030300</v>
      </c>
      <c r="H300" s="23">
        <v>0</v>
      </c>
      <c r="I300" s="23">
        <v>0</v>
      </c>
    </row>
    <row r="301" spans="1:13">
      <c r="A301" s="12" t="s">
        <v>381</v>
      </c>
      <c r="B301" s="63" t="s">
        <v>17</v>
      </c>
      <c r="C301" s="63" t="s">
        <v>167</v>
      </c>
      <c r="D301" s="63" t="s">
        <v>76</v>
      </c>
      <c r="E301" s="43" t="s">
        <v>382</v>
      </c>
      <c r="F301" s="63" t="s">
        <v>181</v>
      </c>
      <c r="G301" s="23">
        <v>1030300</v>
      </c>
      <c r="H301" s="23">
        <v>0</v>
      </c>
      <c r="I301" s="23">
        <v>0</v>
      </c>
      <c r="M301" s="1" t="s">
        <v>309</v>
      </c>
    </row>
    <row r="302" spans="1:13" ht="51">
      <c r="A302" s="12" t="s">
        <v>219</v>
      </c>
      <c r="B302" s="63" t="s">
        <v>17</v>
      </c>
      <c r="C302" s="63" t="s">
        <v>167</v>
      </c>
      <c r="D302" s="13" t="s">
        <v>76</v>
      </c>
      <c r="E302" s="13" t="s">
        <v>220</v>
      </c>
      <c r="F302" s="13"/>
      <c r="G302" s="51">
        <f>G303</f>
        <v>1500</v>
      </c>
      <c r="H302" s="51">
        <f>H303</f>
        <v>10800</v>
      </c>
      <c r="I302" s="51">
        <f>I303</f>
        <v>11500</v>
      </c>
      <c r="J302" s="54"/>
    </row>
    <row r="303" spans="1:13">
      <c r="A303" s="12" t="s">
        <v>37</v>
      </c>
      <c r="B303" s="13" t="s">
        <v>17</v>
      </c>
      <c r="C303" s="13" t="s">
        <v>167</v>
      </c>
      <c r="D303" s="13" t="s">
        <v>76</v>
      </c>
      <c r="E303" s="13" t="s">
        <v>220</v>
      </c>
      <c r="F303" s="13" t="s">
        <v>38</v>
      </c>
      <c r="G303" s="23">
        <v>1500</v>
      </c>
      <c r="H303" s="23">
        <v>10800</v>
      </c>
      <c r="I303" s="23">
        <v>11500</v>
      </c>
    </row>
    <row r="304" spans="1:13" ht="25.5">
      <c r="A304" s="12" t="s">
        <v>221</v>
      </c>
      <c r="B304" s="13" t="s">
        <v>17</v>
      </c>
      <c r="C304" s="13" t="s">
        <v>167</v>
      </c>
      <c r="D304" s="13" t="s">
        <v>76</v>
      </c>
      <c r="E304" s="13" t="s">
        <v>222</v>
      </c>
      <c r="F304" s="13"/>
      <c r="G304" s="51">
        <f>G305</f>
        <v>1000</v>
      </c>
      <c r="H304" s="51">
        <f>H305</f>
        <v>11200</v>
      </c>
      <c r="I304" s="51">
        <f>I305</f>
        <v>11200</v>
      </c>
    </row>
    <row r="305" spans="1:12">
      <c r="A305" s="12" t="s">
        <v>37</v>
      </c>
      <c r="B305" s="13" t="s">
        <v>17</v>
      </c>
      <c r="C305" s="13" t="s">
        <v>167</v>
      </c>
      <c r="D305" s="13" t="s">
        <v>76</v>
      </c>
      <c r="E305" s="13" t="s">
        <v>222</v>
      </c>
      <c r="F305" s="13" t="s">
        <v>38</v>
      </c>
      <c r="G305" s="23">
        <v>1000</v>
      </c>
      <c r="H305" s="23">
        <v>11200</v>
      </c>
      <c r="I305" s="23">
        <v>11200</v>
      </c>
    </row>
    <row r="306" spans="1:12" ht="25.5">
      <c r="A306" s="12" t="s">
        <v>223</v>
      </c>
      <c r="B306" s="13" t="s">
        <v>17</v>
      </c>
      <c r="C306" s="13" t="s">
        <v>167</v>
      </c>
      <c r="D306" s="13" t="s">
        <v>76</v>
      </c>
      <c r="E306" s="13" t="s">
        <v>224</v>
      </c>
      <c r="F306" s="13"/>
      <c r="G306" s="51">
        <f>G307</f>
        <v>2300</v>
      </c>
      <c r="H306" s="51">
        <f>H307</f>
        <v>2300</v>
      </c>
      <c r="I306" s="51">
        <f>I307</f>
        <v>2500</v>
      </c>
    </row>
    <row r="307" spans="1:12">
      <c r="A307" s="12" t="s">
        <v>37</v>
      </c>
      <c r="B307" s="13" t="s">
        <v>17</v>
      </c>
      <c r="C307" s="13" t="s">
        <v>167</v>
      </c>
      <c r="D307" s="13" t="s">
        <v>76</v>
      </c>
      <c r="E307" s="13" t="s">
        <v>224</v>
      </c>
      <c r="F307" s="13" t="s">
        <v>38</v>
      </c>
      <c r="G307" s="23">
        <v>2300</v>
      </c>
      <c r="H307" s="23">
        <v>2300</v>
      </c>
      <c r="I307" s="23">
        <v>2500</v>
      </c>
    </row>
    <row r="308" spans="1:12" ht="51">
      <c r="A308" s="12" t="s">
        <v>225</v>
      </c>
      <c r="B308" s="13" t="s">
        <v>17</v>
      </c>
      <c r="C308" s="13" t="s">
        <v>167</v>
      </c>
      <c r="D308" s="13" t="s">
        <v>76</v>
      </c>
      <c r="E308" s="13" t="s">
        <v>226</v>
      </c>
      <c r="F308" s="13"/>
      <c r="G308" s="51">
        <f>G309</f>
        <v>2700</v>
      </c>
      <c r="H308" s="51">
        <f>H309</f>
        <v>6400</v>
      </c>
      <c r="I308" s="51">
        <f>I309</f>
        <v>6400</v>
      </c>
    </row>
    <row r="309" spans="1:12">
      <c r="A309" s="12" t="s">
        <v>37</v>
      </c>
      <c r="B309" s="13" t="s">
        <v>17</v>
      </c>
      <c r="C309" s="13" t="s">
        <v>167</v>
      </c>
      <c r="D309" s="13" t="s">
        <v>76</v>
      </c>
      <c r="E309" s="13" t="s">
        <v>226</v>
      </c>
      <c r="F309" s="13" t="s">
        <v>38</v>
      </c>
      <c r="G309" s="23">
        <v>2700</v>
      </c>
      <c r="H309" s="23">
        <v>6400</v>
      </c>
      <c r="I309" s="23">
        <v>6400</v>
      </c>
    </row>
    <row r="310" spans="1:12" ht="38.25">
      <c r="A310" s="12" t="s">
        <v>202</v>
      </c>
      <c r="B310" s="13" t="s">
        <v>17</v>
      </c>
      <c r="C310" s="13" t="s">
        <v>167</v>
      </c>
      <c r="D310" s="13" t="s">
        <v>76</v>
      </c>
      <c r="E310" s="13" t="s">
        <v>203</v>
      </c>
      <c r="F310" s="13"/>
      <c r="G310" s="51">
        <f>G311</f>
        <v>0</v>
      </c>
      <c r="H310" s="51">
        <f>H311</f>
        <v>5300</v>
      </c>
      <c r="I310" s="51">
        <f>I311</f>
        <v>5500</v>
      </c>
    </row>
    <row r="311" spans="1:12">
      <c r="A311" s="12" t="s">
        <v>37</v>
      </c>
      <c r="B311" s="13" t="s">
        <v>17</v>
      </c>
      <c r="C311" s="13" t="s">
        <v>167</v>
      </c>
      <c r="D311" s="13" t="s">
        <v>76</v>
      </c>
      <c r="E311" s="13" t="s">
        <v>203</v>
      </c>
      <c r="F311" s="13" t="s">
        <v>38</v>
      </c>
      <c r="G311" s="23">
        <v>0</v>
      </c>
      <c r="H311" s="23">
        <v>5300</v>
      </c>
      <c r="I311" s="23">
        <v>5500</v>
      </c>
    </row>
    <row r="312" spans="1:12" ht="37.5" customHeight="1">
      <c r="A312" s="33" t="s">
        <v>325</v>
      </c>
      <c r="B312" s="13" t="s">
        <v>17</v>
      </c>
      <c r="C312" s="13" t="s">
        <v>167</v>
      </c>
      <c r="D312" s="13" t="s">
        <v>76</v>
      </c>
      <c r="E312" s="13" t="s">
        <v>227</v>
      </c>
      <c r="F312" s="13"/>
      <c r="G312" s="51">
        <f>G313</f>
        <v>0</v>
      </c>
      <c r="H312" s="51">
        <f>H313</f>
        <v>20800</v>
      </c>
      <c r="I312" s="51">
        <f>I313</f>
        <v>21600</v>
      </c>
    </row>
    <row r="313" spans="1:12">
      <c r="A313" s="12" t="s">
        <v>37</v>
      </c>
      <c r="B313" s="13" t="s">
        <v>17</v>
      </c>
      <c r="C313" s="13" t="s">
        <v>167</v>
      </c>
      <c r="D313" s="13" t="s">
        <v>76</v>
      </c>
      <c r="E313" s="13" t="s">
        <v>227</v>
      </c>
      <c r="F313" s="13" t="s">
        <v>38</v>
      </c>
      <c r="G313" s="23">
        <v>0</v>
      </c>
      <c r="H313" s="23">
        <v>20800</v>
      </c>
      <c r="I313" s="23">
        <v>21600</v>
      </c>
    </row>
    <row r="314" spans="1:12" ht="38.25">
      <c r="A314" s="33" t="s">
        <v>326</v>
      </c>
      <c r="B314" s="13" t="s">
        <v>17</v>
      </c>
      <c r="C314" s="13" t="s">
        <v>167</v>
      </c>
      <c r="D314" s="13" t="s">
        <v>76</v>
      </c>
      <c r="E314" s="13" t="s">
        <v>228</v>
      </c>
      <c r="F314" s="13"/>
      <c r="G314" s="51">
        <f>G315</f>
        <v>0</v>
      </c>
      <c r="H314" s="51">
        <f>H315</f>
        <v>36400</v>
      </c>
      <c r="I314" s="51">
        <f>I315</f>
        <v>37900</v>
      </c>
    </row>
    <row r="315" spans="1:12">
      <c r="A315" s="12" t="s">
        <v>37</v>
      </c>
      <c r="B315" s="13" t="s">
        <v>17</v>
      </c>
      <c r="C315" s="13" t="s">
        <v>167</v>
      </c>
      <c r="D315" s="13" t="s">
        <v>76</v>
      </c>
      <c r="E315" s="13" t="s">
        <v>228</v>
      </c>
      <c r="F315" s="13" t="s">
        <v>38</v>
      </c>
      <c r="G315" s="23">
        <v>0</v>
      </c>
      <c r="H315" s="23">
        <v>36400</v>
      </c>
      <c r="I315" s="23">
        <v>37900</v>
      </c>
    </row>
    <row r="316" spans="1:12" ht="49.5" customHeight="1">
      <c r="A316" s="33" t="s">
        <v>327</v>
      </c>
      <c r="B316" s="13" t="s">
        <v>17</v>
      </c>
      <c r="C316" s="13" t="s">
        <v>167</v>
      </c>
      <c r="D316" s="13" t="s">
        <v>76</v>
      </c>
      <c r="E316" s="13" t="s">
        <v>229</v>
      </c>
      <c r="F316" s="13"/>
      <c r="G316" s="51">
        <f>G317</f>
        <v>5000</v>
      </c>
      <c r="H316" s="51">
        <f>H317</f>
        <v>119200</v>
      </c>
      <c r="I316" s="51">
        <f>I317</f>
        <v>122200</v>
      </c>
      <c r="L316" s="54"/>
    </row>
    <row r="317" spans="1:12">
      <c r="A317" s="12" t="s">
        <v>37</v>
      </c>
      <c r="B317" s="13" t="s">
        <v>17</v>
      </c>
      <c r="C317" s="13" t="s">
        <v>167</v>
      </c>
      <c r="D317" s="13" t="s">
        <v>76</v>
      </c>
      <c r="E317" s="13" t="s">
        <v>229</v>
      </c>
      <c r="F317" s="13" t="s">
        <v>38</v>
      </c>
      <c r="G317" s="23">
        <v>5000</v>
      </c>
      <c r="H317" s="23">
        <v>119200</v>
      </c>
      <c r="I317" s="23">
        <v>122200</v>
      </c>
    </row>
    <row r="318" spans="1:12" ht="75" customHeight="1">
      <c r="A318" s="76" t="s">
        <v>389</v>
      </c>
      <c r="B318" s="63" t="s">
        <v>17</v>
      </c>
      <c r="C318" s="63" t="s">
        <v>167</v>
      </c>
      <c r="D318" s="63" t="s">
        <v>76</v>
      </c>
      <c r="E318" s="63" t="s">
        <v>390</v>
      </c>
      <c r="F318" s="63"/>
      <c r="G318" s="51">
        <f>G319+G320</f>
        <v>380800</v>
      </c>
      <c r="H318" s="51">
        <v>396000</v>
      </c>
      <c r="I318" s="51">
        <v>411800</v>
      </c>
    </row>
    <row r="319" spans="1:12">
      <c r="A319" s="12" t="s">
        <v>37</v>
      </c>
      <c r="B319" s="63" t="s">
        <v>17</v>
      </c>
      <c r="C319" s="63" t="s">
        <v>167</v>
      </c>
      <c r="D319" s="63" t="s">
        <v>76</v>
      </c>
      <c r="E319" s="63" t="s">
        <v>390</v>
      </c>
      <c r="F319" s="63" t="s">
        <v>38</v>
      </c>
      <c r="G319" s="23">
        <f>380800-80800-300000</f>
        <v>0</v>
      </c>
      <c r="H319" s="23">
        <v>396000</v>
      </c>
      <c r="I319" s="23">
        <v>411800</v>
      </c>
    </row>
    <row r="320" spans="1:12" ht="25.5">
      <c r="A320" s="12" t="s">
        <v>246</v>
      </c>
      <c r="B320" s="63" t="s">
        <v>17</v>
      </c>
      <c r="C320" s="63" t="s">
        <v>167</v>
      </c>
      <c r="D320" s="63" t="s">
        <v>76</v>
      </c>
      <c r="E320" s="63" t="s">
        <v>390</v>
      </c>
      <c r="F320" s="63" t="s">
        <v>247</v>
      </c>
      <c r="G320" s="23">
        <v>380800</v>
      </c>
      <c r="H320" s="23">
        <v>0</v>
      </c>
      <c r="I320" s="23">
        <v>0</v>
      </c>
    </row>
    <row r="321" spans="1:9" ht="51">
      <c r="A321" s="12" t="s">
        <v>387</v>
      </c>
      <c r="B321" s="63" t="s">
        <v>17</v>
      </c>
      <c r="C321" s="63" t="s">
        <v>167</v>
      </c>
      <c r="D321" s="63" t="s">
        <v>76</v>
      </c>
      <c r="E321" s="63" t="s">
        <v>388</v>
      </c>
      <c r="F321" s="63"/>
      <c r="G321" s="51">
        <v>394000</v>
      </c>
      <c r="H321" s="51">
        <v>0</v>
      </c>
      <c r="I321" s="51">
        <v>0</v>
      </c>
    </row>
    <row r="322" spans="1:9">
      <c r="A322" s="12" t="s">
        <v>37</v>
      </c>
      <c r="B322" s="63" t="s">
        <v>17</v>
      </c>
      <c r="C322" s="63" t="s">
        <v>167</v>
      </c>
      <c r="D322" s="63" t="s">
        <v>76</v>
      </c>
      <c r="E322" s="63" t="s">
        <v>388</v>
      </c>
      <c r="F322" s="63" t="s">
        <v>38</v>
      </c>
      <c r="G322" s="23">
        <v>394000</v>
      </c>
      <c r="H322" s="23">
        <v>0</v>
      </c>
      <c r="I322" s="23">
        <v>0</v>
      </c>
    </row>
    <row r="323" spans="1:9">
      <c r="A323" s="12" t="s">
        <v>365</v>
      </c>
      <c r="B323" s="63" t="s">
        <v>17</v>
      </c>
      <c r="C323" s="63" t="s">
        <v>167</v>
      </c>
      <c r="D323" s="63" t="s">
        <v>76</v>
      </c>
      <c r="E323" s="63" t="s">
        <v>370</v>
      </c>
      <c r="F323" s="63"/>
      <c r="G323" s="51">
        <f>G324</f>
        <v>130900</v>
      </c>
      <c r="H323" s="51">
        <v>0</v>
      </c>
      <c r="I323" s="51">
        <v>0</v>
      </c>
    </row>
    <row r="324" spans="1:9">
      <c r="A324" s="12" t="s">
        <v>37</v>
      </c>
      <c r="B324" s="63" t="s">
        <v>17</v>
      </c>
      <c r="C324" s="63" t="s">
        <v>167</v>
      </c>
      <c r="D324" s="63" t="s">
        <v>76</v>
      </c>
      <c r="E324" s="63" t="s">
        <v>403</v>
      </c>
      <c r="F324" s="63"/>
      <c r="G324" s="53">
        <f>G325</f>
        <v>130900</v>
      </c>
      <c r="H324" s="23">
        <v>0</v>
      </c>
      <c r="I324" s="23">
        <v>0</v>
      </c>
    </row>
    <row r="325" spans="1:9" ht="28.5" customHeight="1">
      <c r="A325" s="12" t="s">
        <v>402</v>
      </c>
      <c r="B325" s="63" t="s">
        <v>17</v>
      </c>
      <c r="C325" s="63" t="s">
        <v>167</v>
      </c>
      <c r="D325" s="63" t="s">
        <v>76</v>
      </c>
      <c r="E325" s="63" t="s">
        <v>403</v>
      </c>
      <c r="F325" s="63" t="s">
        <v>38</v>
      </c>
      <c r="G325" s="23">
        <v>130900</v>
      </c>
      <c r="H325" s="23">
        <v>0</v>
      </c>
      <c r="I325" s="23">
        <v>0</v>
      </c>
    </row>
    <row r="326" spans="1:9">
      <c r="A326" s="12" t="s">
        <v>230</v>
      </c>
      <c r="B326" s="13" t="s">
        <v>17</v>
      </c>
      <c r="C326" s="13" t="s">
        <v>104</v>
      </c>
      <c r="D326" s="13" t="s">
        <v>19</v>
      </c>
      <c r="E326" s="13"/>
      <c r="F326" s="13"/>
      <c r="G326" s="51">
        <f>G327+G336+G342+G348+G350+G352+G354+G356+G359</f>
        <v>33896951.019999996</v>
      </c>
      <c r="H326" s="51">
        <f>H327+H336+H342++H348+H352+H354+H356</f>
        <v>34154500</v>
      </c>
      <c r="I326" s="65">
        <f>I327+I336+I342++I348+I352+I354+I356</f>
        <v>35999600</v>
      </c>
    </row>
    <row r="327" spans="1:9" ht="25.5">
      <c r="A327" s="12" t="s">
        <v>231</v>
      </c>
      <c r="B327" s="13" t="s">
        <v>17</v>
      </c>
      <c r="C327" s="13" t="s">
        <v>104</v>
      </c>
      <c r="D327" s="13" t="s">
        <v>19</v>
      </c>
      <c r="E327" s="13" t="s">
        <v>232</v>
      </c>
      <c r="F327" s="13"/>
      <c r="G327" s="51">
        <f>G328+G329+G330+G331+G332+G333+G334+G335</f>
        <v>16875700</v>
      </c>
      <c r="H327" s="51">
        <f>H328+H329+H330+H331+H333+H334+H335</f>
        <v>16877100</v>
      </c>
      <c r="I327" s="51">
        <f>I328+I329+I330+I331+I333+I334+I335</f>
        <v>17100100</v>
      </c>
    </row>
    <row r="328" spans="1:9">
      <c r="A328" s="12" t="s">
        <v>49</v>
      </c>
      <c r="B328" s="13" t="s">
        <v>17</v>
      </c>
      <c r="C328" s="13" t="s">
        <v>104</v>
      </c>
      <c r="D328" s="13" t="s">
        <v>19</v>
      </c>
      <c r="E328" s="13" t="s">
        <v>232</v>
      </c>
      <c r="F328" s="13" t="s">
        <v>50</v>
      </c>
      <c r="G328" s="23">
        <v>10461597</v>
      </c>
      <c r="H328" s="23">
        <v>10642857</v>
      </c>
      <c r="I328" s="23">
        <v>10642857</v>
      </c>
    </row>
    <row r="329" spans="1:9" ht="38.25">
      <c r="A329" s="12" t="s">
        <v>51</v>
      </c>
      <c r="B329" s="13" t="s">
        <v>17</v>
      </c>
      <c r="C329" s="13" t="s">
        <v>104</v>
      </c>
      <c r="D329" s="13" t="s">
        <v>19</v>
      </c>
      <c r="E329" s="13" t="s">
        <v>232</v>
      </c>
      <c r="F329" s="13" t="s">
        <v>52</v>
      </c>
      <c r="G329" s="23">
        <v>3159403</v>
      </c>
      <c r="H329" s="23">
        <v>3214143</v>
      </c>
      <c r="I329" s="23">
        <v>3214143</v>
      </c>
    </row>
    <row r="330" spans="1:9">
      <c r="A330" s="12" t="s">
        <v>37</v>
      </c>
      <c r="B330" s="13" t="s">
        <v>17</v>
      </c>
      <c r="C330" s="13" t="s">
        <v>104</v>
      </c>
      <c r="D330" s="13" t="s">
        <v>19</v>
      </c>
      <c r="E330" s="13" t="s">
        <v>232</v>
      </c>
      <c r="F330" s="13" t="s">
        <v>38</v>
      </c>
      <c r="G330" s="23">
        <f>1488270.77-15335.28-84000</f>
        <v>1388935.49</v>
      </c>
      <c r="H330" s="23">
        <v>1046836</v>
      </c>
      <c r="I330" s="23">
        <v>1149836</v>
      </c>
    </row>
    <row r="331" spans="1:9">
      <c r="A331" s="12" t="s">
        <v>53</v>
      </c>
      <c r="B331" s="13" t="s">
        <v>17</v>
      </c>
      <c r="C331" s="13" t="s">
        <v>104</v>
      </c>
      <c r="D331" s="13" t="s">
        <v>19</v>
      </c>
      <c r="E331" s="13" t="s">
        <v>232</v>
      </c>
      <c r="F331" s="13" t="s">
        <v>54</v>
      </c>
      <c r="G331" s="23">
        <f>2304429.23-400000-100000</f>
        <v>1804429.23</v>
      </c>
      <c r="H331" s="23">
        <v>1973264</v>
      </c>
      <c r="I331" s="24">
        <v>1993264</v>
      </c>
    </row>
    <row r="332" spans="1:9">
      <c r="A332" s="12" t="s">
        <v>376</v>
      </c>
      <c r="B332" s="63" t="s">
        <v>17</v>
      </c>
      <c r="C332" s="63" t="s">
        <v>104</v>
      </c>
      <c r="D332" s="63" t="s">
        <v>19</v>
      </c>
      <c r="E332" s="63" t="s">
        <v>232</v>
      </c>
      <c r="F332" s="63" t="s">
        <v>377</v>
      </c>
      <c r="G332" s="23">
        <v>15335.28</v>
      </c>
      <c r="H332" s="23">
        <v>0</v>
      </c>
      <c r="I332" s="24">
        <v>0</v>
      </c>
    </row>
    <row r="333" spans="1:9" ht="25.5">
      <c r="A333" s="12" t="s">
        <v>55</v>
      </c>
      <c r="B333" s="13" t="s">
        <v>17</v>
      </c>
      <c r="C333" s="13" t="s">
        <v>104</v>
      </c>
      <c r="D333" s="13" t="s">
        <v>19</v>
      </c>
      <c r="E333" s="13" t="s">
        <v>232</v>
      </c>
      <c r="F333" s="13" t="s">
        <v>56</v>
      </c>
      <c r="G333" s="23">
        <v>34208.79</v>
      </c>
      <c r="H333" s="23">
        <v>0</v>
      </c>
      <c r="I333" s="23">
        <v>100000</v>
      </c>
    </row>
    <row r="334" spans="1:9">
      <c r="A334" s="12" t="s">
        <v>340</v>
      </c>
      <c r="B334" s="63" t="s">
        <v>17</v>
      </c>
      <c r="C334" s="63" t="s">
        <v>104</v>
      </c>
      <c r="D334" s="63" t="s">
        <v>19</v>
      </c>
      <c r="E334" s="63" t="s">
        <v>232</v>
      </c>
      <c r="F334" s="63" t="s">
        <v>83</v>
      </c>
      <c r="G334" s="23">
        <v>2000</v>
      </c>
      <c r="H334" s="23">
        <v>0</v>
      </c>
      <c r="I334" s="23">
        <v>0</v>
      </c>
    </row>
    <row r="335" spans="1:9">
      <c r="A335" s="12" t="s">
        <v>336</v>
      </c>
      <c r="B335" s="63" t="s">
        <v>17</v>
      </c>
      <c r="C335" s="63" t="s">
        <v>104</v>
      </c>
      <c r="D335" s="63" t="s">
        <v>19</v>
      </c>
      <c r="E335" s="63" t="s">
        <v>232</v>
      </c>
      <c r="F335" s="63" t="s">
        <v>337</v>
      </c>
      <c r="G335" s="23">
        <v>9791.2099999999991</v>
      </c>
      <c r="H335" s="23">
        <v>0</v>
      </c>
      <c r="I335" s="23">
        <v>0</v>
      </c>
    </row>
    <row r="336" spans="1:9" ht="38.25">
      <c r="A336" s="12" t="s">
        <v>233</v>
      </c>
      <c r="B336" s="13" t="s">
        <v>17</v>
      </c>
      <c r="C336" s="13" t="s">
        <v>104</v>
      </c>
      <c r="D336" s="13" t="s">
        <v>19</v>
      </c>
      <c r="E336" s="13" t="s">
        <v>234</v>
      </c>
      <c r="F336" s="13"/>
      <c r="G336" s="51">
        <f>G337+G338+G339+G340</f>
        <v>4734700</v>
      </c>
      <c r="H336" s="51">
        <f>H337+H338+H339+H340+H341</f>
        <v>4256800</v>
      </c>
      <c r="I336" s="51">
        <f>I337+I338+I339+I340</f>
        <v>5033800</v>
      </c>
    </row>
    <row r="337" spans="1:11">
      <c r="A337" s="12" t="s">
        <v>49</v>
      </c>
      <c r="B337" s="13" t="s">
        <v>17</v>
      </c>
      <c r="C337" s="13" t="s">
        <v>104</v>
      </c>
      <c r="D337" s="13" t="s">
        <v>19</v>
      </c>
      <c r="E337" s="13" t="s">
        <v>234</v>
      </c>
      <c r="F337" s="13" t="s">
        <v>50</v>
      </c>
      <c r="G337" s="23">
        <v>3255991</v>
      </c>
      <c r="H337" s="23">
        <v>2731797</v>
      </c>
      <c r="I337" s="23">
        <v>3073579</v>
      </c>
    </row>
    <row r="338" spans="1:11" ht="38.25">
      <c r="A338" s="12" t="s">
        <v>51</v>
      </c>
      <c r="B338" s="13" t="s">
        <v>17</v>
      </c>
      <c r="C338" s="13" t="s">
        <v>104</v>
      </c>
      <c r="D338" s="13" t="s">
        <v>19</v>
      </c>
      <c r="E338" s="13" t="s">
        <v>234</v>
      </c>
      <c r="F338" s="13" t="s">
        <v>52</v>
      </c>
      <c r="G338" s="23">
        <v>983309</v>
      </c>
      <c r="H338" s="23">
        <v>825003</v>
      </c>
      <c r="I338" s="23">
        <v>928221</v>
      </c>
      <c r="K338" s="1" t="s">
        <v>309</v>
      </c>
    </row>
    <row r="339" spans="1:11">
      <c r="A339" s="12" t="s">
        <v>37</v>
      </c>
      <c r="B339" s="13" t="s">
        <v>17</v>
      </c>
      <c r="C339" s="13" t="s">
        <v>104</v>
      </c>
      <c r="D339" s="13" t="s">
        <v>19</v>
      </c>
      <c r="E339" s="13" t="s">
        <v>234</v>
      </c>
      <c r="F339" s="13" t="s">
        <v>38</v>
      </c>
      <c r="G339" s="23">
        <f>320416.89+20000</f>
        <v>340416.89</v>
      </c>
      <c r="H339" s="20">
        <f>435016.89-42660-20022.8</f>
        <v>372334.09</v>
      </c>
      <c r="I339" s="23">
        <v>757016.89</v>
      </c>
    </row>
    <row r="340" spans="1:11">
      <c r="A340" s="12" t="s">
        <v>53</v>
      </c>
      <c r="B340" s="13" t="s">
        <v>17</v>
      </c>
      <c r="C340" s="13" t="s">
        <v>104</v>
      </c>
      <c r="D340" s="13" t="s">
        <v>19</v>
      </c>
      <c r="E340" s="13" t="s">
        <v>234</v>
      </c>
      <c r="F340" s="13" t="s">
        <v>54</v>
      </c>
      <c r="G340" s="23">
        <f>254983.11-100000</f>
        <v>154983.10999999999</v>
      </c>
      <c r="H340" s="23">
        <v>264983.11</v>
      </c>
      <c r="I340" s="23">
        <v>274983.11</v>
      </c>
    </row>
    <row r="341" spans="1:11" ht="29.25" customHeight="1">
      <c r="A341" s="12" t="s">
        <v>439</v>
      </c>
      <c r="B341" s="63" t="s">
        <v>17</v>
      </c>
      <c r="C341" s="63" t="s">
        <v>104</v>
      </c>
      <c r="D341" s="63" t="s">
        <v>19</v>
      </c>
      <c r="E341" s="63" t="s">
        <v>440</v>
      </c>
      <c r="F341" s="63" t="s">
        <v>38</v>
      </c>
      <c r="G341" s="23">
        <v>0</v>
      </c>
      <c r="H341" s="20">
        <f>42660+20022.8</f>
        <v>62682.8</v>
      </c>
      <c r="I341" s="23">
        <v>0</v>
      </c>
    </row>
    <row r="342" spans="1:11" ht="38.25">
      <c r="A342" s="12" t="s">
        <v>235</v>
      </c>
      <c r="B342" s="13" t="s">
        <v>17</v>
      </c>
      <c r="C342" s="13" t="s">
        <v>104</v>
      </c>
      <c r="D342" s="13" t="s">
        <v>19</v>
      </c>
      <c r="E342" s="13" t="s">
        <v>236</v>
      </c>
      <c r="F342" s="13"/>
      <c r="G342" s="64">
        <f>G343+G344+G345+G346+G347</f>
        <v>5191886.26</v>
      </c>
      <c r="H342" s="64">
        <f>H343+H344+H345+H346+H347</f>
        <v>5793400</v>
      </c>
      <c r="I342" s="64">
        <f>I343+I344+I345+I346+I347</f>
        <v>6638500</v>
      </c>
    </row>
    <row r="343" spans="1:11">
      <c r="A343" s="12" t="s">
        <v>49</v>
      </c>
      <c r="B343" s="13" t="s">
        <v>17</v>
      </c>
      <c r="C343" s="13" t="s">
        <v>104</v>
      </c>
      <c r="D343" s="13" t="s">
        <v>19</v>
      </c>
      <c r="E343" s="13" t="s">
        <v>236</v>
      </c>
      <c r="F343" s="13" t="s">
        <v>50</v>
      </c>
      <c r="G343" s="23">
        <f>2586790-5600-624000</f>
        <v>1957190</v>
      </c>
      <c r="H343" s="25">
        <v>2762443</v>
      </c>
      <c r="I343" s="25">
        <v>3119893</v>
      </c>
    </row>
    <row r="344" spans="1:11" ht="38.25">
      <c r="A344" s="12" t="s">
        <v>51</v>
      </c>
      <c r="B344" s="13" t="s">
        <v>17</v>
      </c>
      <c r="C344" s="13" t="s">
        <v>104</v>
      </c>
      <c r="D344" s="13" t="s">
        <v>19</v>
      </c>
      <c r="E344" s="13" t="s">
        <v>236</v>
      </c>
      <c r="F344" s="13" t="s">
        <v>52</v>
      </c>
      <c r="G344" s="23">
        <f>781210-150913.74</f>
        <v>630296.26</v>
      </c>
      <c r="H344" s="25">
        <v>834257</v>
      </c>
      <c r="I344" s="25">
        <v>942207</v>
      </c>
    </row>
    <row r="345" spans="1:11">
      <c r="A345" s="12" t="s">
        <v>37</v>
      </c>
      <c r="B345" s="13" t="s">
        <v>17</v>
      </c>
      <c r="C345" s="13" t="s">
        <v>104</v>
      </c>
      <c r="D345" s="13" t="s">
        <v>19</v>
      </c>
      <c r="E345" s="13" t="s">
        <v>236</v>
      </c>
      <c r="F345" s="13" t="s">
        <v>38</v>
      </c>
      <c r="G345" s="23">
        <f>1750400-20000+624000-156397-250000</f>
        <v>1948003</v>
      </c>
      <c r="H345" s="25">
        <v>1934700</v>
      </c>
      <c r="I345" s="25">
        <v>2294400</v>
      </c>
    </row>
    <row r="346" spans="1:11">
      <c r="A346" s="12" t="s">
        <v>53</v>
      </c>
      <c r="B346" s="13" t="s">
        <v>17</v>
      </c>
      <c r="C346" s="13" t="s">
        <v>104</v>
      </c>
      <c r="D346" s="13" t="s">
        <v>19</v>
      </c>
      <c r="E346" s="13" t="s">
        <v>236</v>
      </c>
      <c r="F346" s="13" t="s">
        <v>54</v>
      </c>
      <c r="G346" s="23">
        <f>250000+156397+250000</f>
        <v>656397</v>
      </c>
      <c r="H346" s="25">
        <v>260000</v>
      </c>
      <c r="I346" s="25">
        <v>280000</v>
      </c>
    </row>
    <row r="347" spans="1:11" ht="25.5">
      <c r="A347" s="12" t="s">
        <v>55</v>
      </c>
      <c r="B347" s="13" t="s">
        <v>17</v>
      </c>
      <c r="C347" s="13" t="s">
        <v>104</v>
      </c>
      <c r="D347" s="13" t="s">
        <v>19</v>
      </c>
      <c r="E347" s="13" t="s">
        <v>236</v>
      </c>
      <c r="F347" s="13" t="s">
        <v>56</v>
      </c>
      <c r="G347" s="23">
        <f>2000-2000</f>
        <v>0</v>
      </c>
      <c r="H347" s="25">
        <v>2000</v>
      </c>
      <c r="I347" s="25">
        <v>2000</v>
      </c>
    </row>
    <row r="348" spans="1:11" ht="38.25">
      <c r="A348" s="12" t="s">
        <v>357</v>
      </c>
      <c r="B348" s="63" t="s">
        <v>17</v>
      </c>
      <c r="C348" s="63" t="s">
        <v>104</v>
      </c>
      <c r="D348" s="63" t="s">
        <v>19</v>
      </c>
      <c r="E348" s="63" t="s">
        <v>358</v>
      </c>
      <c r="F348" s="63"/>
      <c r="G348" s="51">
        <f>G349</f>
        <v>55600</v>
      </c>
      <c r="H348" s="51">
        <f>H349</f>
        <v>0</v>
      </c>
      <c r="I348" s="51">
        <f>I349</f>
        <v>0</v>
      </c>
    </row>
    <row r="349" spans="1:11">
      <c r="A349" s="12" t="s">
        <v>49</v>
      </c>
      <c r="B349" s="63" t="s">
        <v>17</v>
      </c>
      <c r="C349" s="63" t="s">
        <v>104</v>
      </c>
      <c r="D349" s="63" t="s">
        <v>19</v>
      </c>
      <c r="E349" s="63" t="s">
        <v>358</v>
      </c>
      <c r="F349" s="63" t="s">
        <v>50</v>
      </c>
      <c r="G349" s="23">
        <f>50000+5600</f>
        <v>55600</v>
      </c>
      <c r="H349" s="25">
        <v>0</v>
      </c>
      <c r="I349" s="25">
        <v>0</v>
      </c>
    </row>
    <row r="350" spans="1:11" ht="51">
      <c r="A350" s="12" t="s">
        <v>378</v>
      </c>
      <c r="B350" s="63" t="s">
        <v>17</v>
      </c>
      <c r="C350" s="63" t="s">
        <v>104</v>
      </c>
      <c r="D350" s="63" t="s">
        <v>19</v>
      </c>
      <c r="E350" s="63" t="s">
        <v>379</v>
      </c>
      <c r="F350" s="63"/>
      <c r="G350" s="51">
        <f>G351</f>
        <v>0</v>
      </c>
      <c r="H350" s="51">
        <f>H351</f>
        <v>0</v>
      </c>
      <c r="I350" s="51">
        <f>I351</f>
        <v>0</v>
      </c>
    </row>
    <row r="351" spans="1:11">
      <c r="A351" s="12" t="s">
        <v>49</v>
      </c>
      <c r="B351" s="63" t="s">
        <v>17</v>
      </c>
      <c r="C351" s="63" t="s">
        <v>104</v>
      </c>
      <c r="D351" s="63" t="s">
        <v>19</v>
      </c>
      <c r="E351" s="63" t="s">
        <v>379</v>
      </c>
      <c r="F351" s="63" t="s">
        <v>50</v>
      </c>
      <c r="G351" s="23">
        <f>5600-5600</f>
        <v>0</v>
      </c>
      <c r="H351" s="25">
        <v>0</v>
      </c>
      <c r="I351" s="25">
        <v>0</v>
      </c>
    </row>
    <row r="352" spans="1:11" ht="38.25">
      <c r="A352" s="12" t="s">
        <v>237</v>
      </c>
      <c r="B352" s="13" t="s">
        <v>17</v>
      </c>
      <c r="C352" s="13" t="s">
        <v>104</v>
      </c>
      <c r="D352" s="13" t="s">
        <v>19</v>
      </c>
      <c r="E352" s="13" t="s">
        <v>238</v>
      </c>
      <c r="F352" s="13"/>
      <c r="G352" s="64">
        <f>G353</f>
        <v>347000</v>
      </c>
      <c r="H352" s="64">
        <f>H353</f>
        <v>297000</v>
      </c>
      <c r="I352" s="64">
        <f>I353</f>
        <v>297000</v>
      </c>
    </row>
    <row r="353" spans="1:9">
      <c r="A353" s="12" t="s">
        <v>37</v>
      </c>
      <c r="B353" s="13" t="s">
        <v>17</v>
      </c>
      <c r="C353" s="13" t="s">
        <v>104</v>
      </c>
      <c r="D353" s="13" t="s">
        <v>19</v>
      </c>
      <c r="E353" s="13" t="s">
        <v>238</v>
      </c>
      <c r="F353" s="13" t="s">
        <v>38</v>
      </c>
      <c r="G353" s="23">
        <f>312000-15000+50000</f>
        <v>347000</v>
      </c>
      <c r="H353" s="23">
        <v>297000</v>
      </c>
      <c r="I353" s="23">
        <v>297000</v>
      </c>
    </row>
    <row r="354" spans="1:9">
      <c r="A354" s="12" t="s">
        <v>239</v>
      </c>
      <c r="B354" s="13" t="s">
        <v>17</v>
      </c>
      <c r="C354" s="13" t="s">
        <v>104</v>
      </c>
      <c r="D354" s="13" t="s">
        <v>19</v>
      </c>
      <c r="E354" s="13" t="s">
        <v>240</v>
      </c>
      <c r="F354" s="13"/>
      <c r="G354" s="51">
        <f>G355</f>
        <v>669739.67999999993</v>
      </c>
      <c r="H354" s="51">
        <f>H355</f>
        <v>599600</v>
      </c>
      <c r="I354" s="51">
        <f>I355</f>
        <v>599600</v>
      </c>
    </row>
    <row r="355" spans="1:9">
      <c r="A355" s="12" t="s">
        <v>37</v>
      </c>
      <c r="B355" s="13" t="s">
        <v>17</v>
      </c>
      <c r="C355" s="13" t="s">
        <v>104</v>
      </c>
      <c r="D355" s="13" t="s">
        <v>19</v>
      </c>
      <c r="E355" s="13" t="s">
        <v>240</v>
      </c>
      <c r="F355" s="13" t="s">
        <v>38</v>
      </c>
      <c r="G355" s="23">
        <f>529600+132139.68+8000</f>
        <v>669739.67999999993</v>
      </c>
      <c r="H355" s="23">
        <v>599600</v>
      </c>
      <c r="I355" s="23">
        <v>599600</v>
      </c>
    </row>
    <row r="356" spans="1:9" ht="25.5">
      <c r="A356" s="12" t="s">
        <v>241</v>
      </c>
      <c r="B356" s="13" t="s">
        <v>17</v>
      </c>
      <c r="C356" s="13" t="s">
        <v>104</v>
      </c>
      <c r="D356" s="13" t="s">
        <v>19</v>
      </c>
      <c r="E356" s="13" t="s">
        <v>242</v>
      </c>
      <c r="F356" s="13"/>
      <c r="G356" s="51">
        <f>G357+G358</f>
        <v>6000000</v>
      </c>
      <c r="H356" s="51">
        <f>H357+H358</f>
        <v>6330600</v>
      </c>
      <c r="I356" s="51">
        <f>I357+I358</f>
        <v>6330600</v>
      </c>
    </row>
    <row r="357" spans="1:9">
      <c r="A357" s="12" t="s">
        <v>49</v>
      </c>
      <c r="B357" s="13" t="s">
        <v>17</v>
      </c>
      <c r="C357" s="13" t="s">
        <v>104</v>
      </c>
      <c r="D357" s="13" t="s">
        <v>19</v>
      </c>
      <c r="E357" s="13" t="s">
        <v>242</v>
      </c>
      <c r="F357" s="13" t="s">
        <v>50</v>
      </c>
      <c r="G357" s="23">
        <v>4608295</v>
      </c>
      <c r="H357" s="23">
        <v>4862212</v>
      </c>
      <c r="I357" s="23">
        <v>4862212</v>
      </c>
    </row>
    <row r="358" spans="1:9" ht="38.25">
      <c r="A358" s="12" t="s">
        <v>51</v>
      </c>
      <c r="B358" s="13" t="s">
        <v>17</v>
      </c>
      <c r="C358" s="13" t="s">
        <v>104</v>
      </c>
      <c r="D358" s="13" t="s">
        <v>19</v>
      </c>
      <c r="E358" s="13" t="s">
        <v>242</v>
      </c>
      <c r="F358" s="13" t="s">
        <v>52</v>
      </c>
      <c r="G358" s="23">
        <v>1391705</v>
      </c>
      <c r="H358" s="23">
        <v>1468388</v>
      </c>
      <c r="I358" s="23">
        <v>1468388</v>
      </c>
    </row>
    <row r="359" spans="1:9" ht="92.25" customHeight="1">
      <c r="A359" s="12" t="s">
        <v>420</v>
      </c>
      <c r="B359" s="63" t="s">
        <v>17</v>
      </c>
      <c r="C359" s="63" t="s">
        <v>104</v>
      </c>
      <c r="D359" s="63" t="s">
        <v>19</v>
      </c>
      <c r="E359" s="63"/>
      <c r="F359" s="63"/>
      <c r="G359" s="51">
        <f>G360+G361</f>
        <v>22325.079999999998</v>
      </c>
      <c r="H359" s="23">
        <v>0</v>
      </c>
      <c r="I359" s="23">
        <v>0</v>
      </c>
    </row>
    <row r="360" spans="1:9" ht="19.5" customHeight="1">
      <c r="A360" s="12" t="s">
        <v>49</v>
      </c>
      <c r="B360" s="63" t="s">
        <v>17</v>
      </c>
      <c r="C360" s="63" t="s">
        <v>104</v>
      </c>
      <c r="D360" s="63" t="s">
        <v>19</v>
      </c>
      <c r="E360" s="63" t="s">
        <v>421</v>
      </c>
      <c r="F360" s="63" t="s">
        <v>50</v>
      </c>
      <c r="G360" s="23">
        <v>17146.71</v>
      </c>
      <c r="H360" s="23">
        <v>0</v>
      </c>
      <c r="I360" s="23">
        <v>0</v>
      </c>
    </row>
    <row r="361" spans="1:9" ht="38.25" customHeight="1">
      <c r="A361" s="12" t="s">
        <v>51</v>
      </c>
      <c r="B361" s="63" t="s">
        <v>17</v>
      </c>
      <c r="C361" s="63" t="s">
        <v>104</v>
      </c>
      <c r="D361" s="63" t="s">
        <v>19</v>
      </c>
      <c r="E361" s="63" t="s">
        <v>421</v>
      </c>
      <c r="F361" s="63" t="s">
        <v>52</v>
      </c>
      <c r="G361" s="23">
        <v>5178.37</v>
      </c>
      <c r="H361" s="23">
        <v>0</v>
      </c>
      <c r="I361" s="23">
        <v>0</v>
      </c>
    </row>
    <row r="362" spans="1:9">
      <c r="A362" s="12" t="s">
        <v>243</v>
      </c>
      <c r="B362" s="13" t="s">
        <v>17</v>
      </c>
      <c r="C362" s="13" t="s">
        <v>82</v>
      </c>
      <c r="D362" s="13" t="s">
        <v>19</v>
      </c>
      <c r="E362" s="13"/>
      <c r="F362" s="13"/>
      <c r="G362" s="51">
        <f t="shared" ref="G362:I363" si="5">G363</f>
        <v>3365000</v>
      </c>
      <c r="H362" s="51">
        <f t="shared" si="5"/>
        <v>3500000</v>
      </c>
      <c r="I362" s="65">
        <f t="shared" si="5"/>
        <v>3640000</v>
      </c>
    </row>
    <row r="363" spans="1:9" ht="63.75">
      <c r="A363" s="12" t="s">
        <v>244</v>
      </c>
      <c r="B363" s="13" t="s">
        <v>17</v>
      </c>
      <c r="C363" s="13" t="s">
        <v>82</v>
      </c>
      <c r="D363" s="13" t="s">
        <v>19</v>
      </c>
      <c r="E363" s="13" t="s">
        <v>245</v>
      </c>
      <c r="F363" s="13"/>
      <c r="G363" s="23">
        <f t="shared" si="5"/>
        <v>3365000</v>
      </c>
      <c r="H363" s="23">
        <f t="shared" si="5"/>
        <v>3500000</v>
      </c>
      <c r="I363" s="23">
        <f t="shared" si="5"/>
        <v>3640000</v>
      </c>
    </row>
    <row r="364" spans="1:9" ht="25.5">
      <c r="A364" s="12" t="s">
        <v>246</v>
      </c>
      <c r="B364" s="13" t="s">
        <v>17</v>
      </c>
      <c r="C364" s="13" t="s">
        <v>82</v>
      </c>
      <c r="D364" s="13" t="s">
        <v>19</v>
      </c>
      <c r="E364" s="13" t="s">
        <v>245</v>
      </c>
      <c r="F364" s="13" t="s">
        <v>247</v>
      </c>
      <c r="G364" s="23">
        <v>3365000</v>
      </c>
      <c r="H364" s="23">
        <v>3500000</v>
      </c>
      <c r="I364" s="23">
        <v>3640000</v>
      </c>
    </row>
    <row r="365" spans="1:9">
      <c r="A365" s="12" t="s">
        <v>248</v>
      </c>
      <c r="B365" s="13" t="s">
        <v>17</v>
      </c>
      <c r="C365" s="13" t="s">
        <v>82</v>
      </c>
      <c r="D365" s="13" t="s">
        <v>72</v>
      </c>
      <c r="E365" s="13"/>
      <c r="F365" s="13"/>
      <c r="G365" s="51">
        <f>G366+G369+G372+G375+G377+G379+G381++G383+G385</f>
        <v>26422198.5</v>
      </c>
      <c r="H365" s="51">
        <f>H366+H369+H372+H375+H377+H379+H381+H385</f>
        <v>25621700</v>
      </c>
      <c r="I365" s="65">
        <f>I366+I369+I372+I375+I377+I379+I381+I385</f>
        <v>26549600</v>
      </c>
    </row>
    <row r="366" spans="1:9" ht="127.5">
      <c r="A366" s="12" t="s">
        <v>249</v>
      </c>
      <c r="B366" s="13" t="s">
        <v>17</v>
      </c>
      <c r="C366" s="13" t="s">
        <v>82</v>
      </c>
      <c r="D366" s="13" t="s">
        <v>72</v>
      </c>
      <c r="E366" s="13" t="s">
        <v>250</v>
      </c>
      <c r="F366" s="13"/>
      <c r="G366" s="51">
        <f>G367+G368</f>
        <v>2218000</v>
      </c>
      <c r="H366" s="51">
        <f>H367+H368</f>
        <v>2128800</v>
      </c>
      <c r="I366" s="51">
        <f>I367+I368</f>
        <v>2227900</v>
      </c>
    </row>
    <row r="367" spans="1:9">
      <c r="A367" s="12" t="s">
        <v>37</v>
      </c>
      <c r="B367" s="13" t="s">
        <v>17</v>
      </c>
      <c r="C367" s="13" t="s">
        <v>82</v>
      </c>
      <c r="D367" s="13" t="s">
        <v>72</v>
      </c>
      <c r="E367" s="13" t="s">
        <v>250</v>
      </c>
      <c r="F367" s="13" t="s">
        <v>38</v>
      </c>
      <c r="G367" s="25">
        <v>32700</v>
      </c>
      <c r="H367" s="23">
        <v>31800</v>
      </c>
      <c r="I367" s="23">
        <v>32900</v>
      </c>
    </row>
    <row r="368" spans="1:9" ht="25.5">
      <c r="A368" s="12" t="s">
        <v>246</v>
      </c>
      <c r="B368" s="13" t="s">
        <v>17</v>
      </c>
      <c r="C368" s="13" t="s">
        <v>82</v>
      </c>
      <c r="D368" s="13" t="s">
        <v>72</v>
      </c>
      <c r="E368" s="13" t="s">
        <v>250</v>
      </c>
      <c r="F368" s="13" t="s">
        <v>247</v>
      </c>
      <c r="G368" s="25">
        <v>2185300</v>
      </c>
      <c r="H368" s="23">
        <v>2097000</v>
      </c>
      <c r="I368" s="23">
        <v>2195000</v>
      </c>
    </row>
    <row r="369" spans="1:11" ht="127.5">
      <c r="A369" s="12" t="s">
        <v>253</v>
      </c>
      <c r="B369" s="13" t="s">
        <v>17</v>
      </c>
      <c r="C369" s="13" t="s">
        <v>82</v>
      </c>
      <c r="D369" s="13" t="s">
        <v>72</v>
      </c>
      <c r="E369" s="13" t="s">
        <v>254</v>
      </c>
      <c r="F369" s="13"/>
      <c r="G369" s="51">
        <f>G370+G371</f>
        <v>2765700</v>
      </c>
      <c r="H369" s="51">
        <f>H370+H371</f>
        <v>2765300</v>
      </c>
      <c r="I369" s="51">
        <f>I370+I371</f>
        <v>2765200</v>
      </c>
    </row>
    <row r="370" spans="1:11">
      <c r="A370" s="12" t="s">
        <v>37</v>
      </c>
      <c r="B370" s="13" t="s">
        <v>17</v>
      </c>
      <c r="C370" s="13" t="s">
        <v>82</v>
      </c>
      <c r="D370" s="13" t="s">
        <v>72</v>
      </c>
      <c r="E370" s="13" t="s">
        <v>254</v>
      </c>
      <c r="F370" s="13" t="s">
        <v>38</v>
      </c>
      <c r="G370" s="23">
        <v>40800</v>
      </c>
      <c r="H370" s="23">
        <v>40800</v>
      </c>
      <c r="I370" s="23">
        <v>40800</v>
      </c>
    </row>
    <row r="371" spans="1:11" ht="25.5">
      <c r="A371" s="12" t="s">
        <v>246</v>
      </c>
      <c r="B371" s="13" t="s">
        <v>17</v>
      </c>
      <c r="C371" s="13" t="s">
        <v>82</v>
      </c>
      <c r="D371" s="13" t="s">
        <v>72</v>
      </c>
      <c r="E371" s="13" t="s">
        <v>254</v>
      </c>
      <c r="F371" s="13" t="s">
        <v>247</v>
      </c>
      <c r="G371" s="23">
        <v>2724900</v>
      </c>
      <c r="H371" s="23">
        <v>2724500</v>
      </c>
      <c r="I371" s="23">
        <v>2724400</v>
      </c>
    </row>
    <row r="372" spans="1:11" ht="140.25">
      <c r="A372" s="12" t="s">
        <v>255</v>
      </c>
      <c r="B372" s="13" t="s">
        <v>17</v>
      </c>
      <c r="C372" s="13" t="s">
        <v>82</v>
      </c>
      <c r="D372" s="13" t="s">
        <v>72</v>
      </c>
      <c r="E372" s="13" t="s">
        <v>256</v>
      </c>
      <c r="F372" s="13"/>
      <c r="G372" s="51">
        <f>G373+G374</f>
        <v>20469600</v>
      </c>
      <c r="H372" s="51">
        <f>H373+H374</f>
        <v>20661300</v>
      </c>
      <c r="I372" s="51">
        <f>I373+I374</f>
        <v>21488000</v>
      </c>
    </row>
    <row r="373" spans="1:11">
      <c r="A373" s="12" t="s">
        <v>37</v>
      </c>
      <c r="B373" s="13" t="s">
        <v>17</v>
      </c>
      <c r="C373" s="13" t="s">
        <v>82</v>
      </c>
      <c r="D373" s="13" t="s">
        <v>72</v>
      </c>
      <c r="E373" s="13" t="s">
        <v>256</v>
      </c>
      <c r="F373" s="13" t="s">
        <v>38</v>
      </c>
      <c r="G373" s="23">
        <f>293600+8907</f>
        <v>302507</v>
      </c>
      <c r="H373" s="23">
        <v>305300</v>
      </c>
      <c r="I373" s="23">
        <v>317600</v>
      </c>
    </row>
    <row r="374" spans="1:11" ht="25.5">
      <c r="A374" s="12" t="s">
        <v>246</v>
      </c>
      <c r="B374" s="13" t="s">
        <v>17</v>
      </c>
      <c r="C374" s="13" t="s">
        <v>82</v>
      </c>
      <c r="D374" s="13" t="s">
        <v>72</v>
      </c>
      <c r="E374" s="13" t="s">
        <v>256</v>
      </c>
      <c r="F374" s="13" t="s">
        <v>247</v>
      </c>
      <c r="G374" s="25">
        <f>19573300+593793</f>
        <v>20167093</v>
      </c>
      <c r="H374" s="23">
        <v>20356000</v>
      </c>
      <c r="I374" s="23">
        <v>21170400</v>
      </c>
    </row>
    <row r="375" spans="1:11" ht="89.25">
      <c r="A375" s="12" t="s">
        <v>257</v>
      </c>
      <c r="B375" s="13" t="s">
        <v>17</v>
      </c>
      <c r="C375" s="13" t="s">
        <v>82</v>
      </c>
      <c r="D375" s="13" t="s">
        <v>72</v>
      </c>
      <c r="E375" s="13" t="s">
        <v>258</v>
      </c>
      <c r="F375" s="13"/>
      <c r="G375" s="51">
        <f>G376</f>
        <v>9900</v>
      </c>
      <c r="H375" s="51">
        <f>H376</f>
        <v>10700</v>
      </c>
      <c r="I375" s="51">
        <f>I376</f>
        <v>11800</v>
      </c>
      <c r="K375" s="1" t="s">
        <v>309</v>
      </c>
    </row>
    <row r="376" spans="1:11" ht="25.5">
      <c r="A376" s="12" t="s">
        <v>246</v>
      </c>
      <c r="B376" s="13" t="s">
        <v>17</v>
      </c>
      <c r="C376" s="13" t="s">
        <v>82</v>
      </c>
      <c r="D376" s="13" t="s">
        <v>72</v>
      </c>
      <c r="E376" s="13" t="s">
        <v>258</v>
      </c>
      <c r="F376" s="13" t="s">
        <v>247</v>
      </c>
      <c r="G376" s="25">
        <v>9900</v>
      </c>
      <c r="H376" s="23">
        <v>10700</v>
      </c>
      <c r="I376" s="23">
        <v>11800</v>
      </c>
    </row>
    <row r="377" spans="1:11" ht="38.25">
      <c r="A377" s="12" t="s">
        <v>259</v>
      </c>
      <c r="B377" s="13" t="s">
        <v>17</v>
      </c>
      <c r="C377" s="13" t="s">
        <v>82</v>
      </c>
      <c r="D377" s="13" t="s">
        <v>72</v>
      </c>
      <c r="E377" s="13" t="s">
        <v>260</v>
      </c>
      <c r="F377" s="13"/>
      <c r="G377" s="51">
        <f>G378</f>
        <v>9000</v>
      </c>
      <c r="H377" s="51">
        <f>H378</f>
        <v>9500</v>
      </c>
      <c r="I377" s="51">
        <f>I378</f>
        <v>9900</v>
      </c>
    </row>
    <row r="378" spans="1:11" ht="25.5">
      <c r="A378" s="12" t="s">
        <v>251</v>
      </c>
      <c r="B378" s="13" t="s">
        <v>17</v>
      </c>
      <c r="C378" s="13" t="s">
        <v>82</v>
      </c>
      <c r="D378" s="13" t="s">
        <v>72</v>
      </c>
      <c r="E378" s="13" t="s">
        <v>260</v>
      </c>
      <c r="F378" s="13" t="s">
        <v>252</v>
      </c>
      <c r="G378" s="23">
        <v>9000</v>
      </c>
      <c r="H378" s="23">
        <v>9500</v>
      </c>
      <c r="I378" s="23">
        <v>9900</v>
      </c>
    </row>
    <row r="379" spans="1:11">
      <c r="A379" s="12" t="s">
        <v>320</v>
      </c>
      <c r="B379" s="32" t="s">
        <v>17</v>
      </c>
      <c r="C379" s="32" t="s">
        <v>82</v>
      </c>
      <c r="D379" s="32" t="s">
        <v>72</v>
      </c>
      <c r="E379" s="32" t="s">
        <v>321</v>
      </c>
      <c r="F379" s="32"/>
      <c r="G379" s="51">
        <f>G380</f>
        <v>0</v>
      </c>
      <c r="H379" s="51">
        <f>H380</f>
        <v>16600</v>
      </c>
      <c r="I379" s="51">
        <f>I380</f>
        <v>16600</v>
      </c>
    </row>
    <row r="380" spans="1:11">
      <c r="A380" s="12" t="s">
        <v>37</v>
      </c>
      <c r="B380" s="32" t="s">
        <v>17</v>
      </c>
      <c r="C380" s="32" t="s">
        <v>82</v>
      </c>
      <c r="D380" s="32" t="s">
        <v>72</v>
      </c>
      <c r="E380" s="32" t="s">
        <v>321</v>
      </c>
      <c r="F380" s="32" t="s">
        <v>38</v>
      </c>
      <c r="G380" s="23">
        <f>16000-16000</f>
        <v>0</v>
      </c>
      <c r="H380" s="23">
        <v>16600</v>
      </c>
      <c r="I380" s="23">
        <v>16600</v>
      </c>
    </row>
    <row r="381" spans="1:11" ht="38.25">
      <c r="A381" s="12" t="s">
        <v>262</v>
      </c>
      <c r="B381" s="13" t="s">
        <v>17</v>
      </c>
      <c r="C381" s="13" t="s">
        <v>82</v>
      </c>
      <c r="D381" s="13" t="s">
        <v>72</v>
      </c>
      <c r="E381" s="13" t="s">
        <v>263</v>
      </c>
      <c r="F381" s="13"/>
      <c r="G381" s="51">
        <f>G382</f>
        <v>5000</v>
      </c>
      <c r="H381" s="51">
        <f>H382</f>
        <v>16000</v>
      </c>
      <c r="I381" s="51">
        <f>I382</f>
        <v>15200</v>
      </c>
    </row>
    <row r="382" spans="1:11">
      <c r="A382" s="12" t="s">
        <v>37</v>
      </c>
      <c r="B382" s="13" t="s">
        <v>17</v>
      </c>
      <c r="C382" s="13" t="s">
        <v>82</v>
      </c>
      <c r="D382" s="13" t="s">
        <v>72</v>
      </c>
      <c r="E382" s="13" t="s">
        <v>263</v>
      </c>
      <c r="F382" s="13" t="s">
        <v>38</v>
      </c>
      <c r="G382" s="23">
        <v>5000</v>
      </c>
      <c r="H382" s="23">
        <v>16000</v>
      </c>
      <c r="I382" s="23">
        <v>15200</v>
      </c>
    </row>
    <row r="383" spans="1:11">
      <c r="A383" s="12" t="s">
        <v>41</v>
      </c>
      <c r="B383" s="63" t="s">
        <v>17</v>
      </c>
      <c r="C383" s="63" t="s">
        <v>82</v>
      </c>
      <c r="D383" s="63" t="s">
        <v>72</v>
      </c>
      <c r="E383" s="63" t="s">
        <v>42</v>
      </c>
      <c r="F383" s="63"/>
      <c r="G383" s="51">
        <f>140000+50000+140000+360000+20000-30000+120000+60000+30000+20000+30000</f>
        <v>940000</v>
      </c>
      <c r="H383" s="51">
        <v>0</v>
      </c>
      <c r="I383" s="51">
        <v>0</v>
      </c>
    </row>
    <row r="384" spans="1:11">
      <c r="A384" s="79" t="s">
        <v>43</v>
      </c>
      <c r="B384" s="74" t="s">
        <v>17</v>
      </c>
      <c r="C384" s="74" t="s">
        <v>82</v>
      </c>
      <c r="D384" s="74" t="s">
        <v>72</v>
      </c>
      <c r="E384" s="74" t="s">
        <v>42</v>
      </c>
      <c r="F384" s="74" t="s">
        <v>247</v>
      </c>
      <c r="G384" s="20">
        <f>140000+50000+140000+360000+20000-30000+120000+60000+30000+20000+30000</f>
        <v>940000</v>
      </c>
      <c r="H384" s="23">
        <v>0</v>
      </c>
      <c r="I384" s="23">
        <v>0</v>
      </c>
    </row>
    <row r="385" spans="1:9" ht="63.75">
      <c r="A385" s="12" t="s">
        <v>264</v>
      </c>
      <c r="B385" s="13" t="s">
        <v>17</v>
      </c>
      <c r="C385" s="13" t="s">
        <v>82</v>
      </c>
      <c r="D385" s="13" t="s">
        <v>72</v>
      </c>
      <c r="E385" s="13" t="s">
        <v>265</v>
      </c>
      <c r="F385" s="13"/>
      <c r="G385" s="51">
        <f>G386</f>
        <v>4998.5</v>
      </c>
      <c r="H385" s="51">
        <f>H386</f>
        <v>13500</v>
      </c>
      <c r="I385" s="51">
        <f>I386</f>
        <v>15000</v>
      </c>
    </row>
    <row r="386" spans="1:9" ht="51">
      <c r="A386" s="12" t="s">
        <v>107</v>
      </c>
      <c r="B386" s="13" t="s">
        <v>17</v>
      </c>
      <c r="C386" s="13" t="s">
        <v>82</v>
      </c>
      <c r="D386" s="13" t="s">
        <v>72</v>
      </c>
      <c r="E386" s="13" t="s">
        <v>265</v>
      </c>
      <c r="F386" s="13" t="s">
        <v>108</v>
      </c>
      <c r="G386" s="23">
        <f>5000-1.5</f>
        <v>4998.5</v>
      </c>
      <c r="H386" s="23">
        <v>13500</v>
      </c>
      <c r="I386" s="23">
        <v>15000</v>
      </c>
    </row>
    <row r="387" spans="1:9">
      <c r="A387" s="12" t="s">
        <v>266</v>
      </c>
      <c r="B387" s="13" t="s">
        <v>17</v>
      </c>
      <c r="C387" s="13" t="s">
        <v>82</v>
      </c>
      <c r="D387" s="13" t="s">
        <v>28</v>
      </c>
      <c r="E387" s="13"/>
      <c r="F387" s="13"/>
      <c r="G387" s="51">
        <f>G388+G390</f>
        <v>1424419.5999999999</v>
      </c>
      <c r="H387" s="51">
        <f>H388+H390</f>
        <v>370100</v>
      </c>
      <c r="I387" s="65">
        <f>I388+I390</f>
        <v>370100</v>
      </c>
    </row>
    <row r="388" spans="1:9" ht="42.75" customHeight="1">
      <c r="A388" s="12" t="s">
        <v>186</v>
      </c>
      <c r="B388" s="45" t="s">
        <v>17</v>
      </c>
      <c r="C388" s="45" t="s">
        <v>82</v>
      </c>
      <c r="D388" s="45" t="s">
        <v>28</v>
      </c>
      <c r="E388" s="45" t="s">
        <v>187</v>
      </c>
      <c r="F388" s="45"/>
      <c r="G388" s="51">
        <f>G389</f>
        <v>46000</v>
      </c>
      <c r="H388" s="51">
        <f>H389</f>
        <v>0</v>
      </c>
      <c r="I388" s="51">
        <f>I389</f>
        <v>0</v>
      </c>
    </row>
    <row r="389" spans="1:9" ht="54.75" customHeight="1">
      <c r="A389" s="12" t="s">
        <v>170</v>
      </c>
      <c r="B389" s="45" t="s">
        <v>17</v>
      </c>
      <c r="C389" s="45" t="s">
        <v>82</v>
      </c>
      <c r="D389" s="45" t="s">
        <v>28</v>
      </c>
      <c r="E389" s="45" t="s">
        <v>187</v>
      </c>
      <c r="F389" s="50" t="s">
        <v>171</v>
      </c>
      <c r="G389" s="23">
        <v>46000</v>
      </c>
      <c r="H389" s="23">
        <v>0</v>
      </c>
      <c r="I389" s="23">
        <v>0</v>
      </c>
    </row>
    <row r="390" spans="1:9" ht="25.5">
      <c r="A390" s="12" t="s">
        <v>329</v>
      </c>
      <c r="B390" s="41" t="s">
        <v>17</v>
      </c>
      <c r="C390" s="41" t="s">
        <v>82</v>
      </c>
      <c r="D390" s="41" t="s">
        <v>28</v>
      </c>
      <c r="E390" s="41" t="s">
        <v>334</v>
      </c>
      <c r="F390" s="41"/>
      <c r="G390" s="51">
        <f>G391</f>
        <v>1378419.5999999999</v>
      </c>
      <c r="H390" s="51">
        <f>H391</f>
        <v>370100</v>
      </c>
      <c r="I390" s="51">
        <f>I391</f>
        <v>370100</v>
      </c>
    </row>
    <row r="391" spans="1:9" ht="25.5">
      <c r="A391" s="34" t="s">
        <v>330</v>
      </c>
      <c r="B391" s="41" t="s">
        <v>17</v>
      </c>
      <c r="C391" s="41" t="s">
        <v>82</v>
      </c>
      <c r="D391" s="41" t="s">
        <v>28</v>
      </c>
      <c r="E391" s="41" t="s">
        <v>334</v>
      </c>
      <c r="F391" s="41" t="s">
        <v>261</v>
      </c>
      <c r="G391" s="23">
        <f>560000-4800+1033814.7-210595.1</f>
        <v>1378419.5999999999</v>
      </c>
      <c r="H391" s="23">
        <v>370100</v>
      </c>
      <c r="I391" s="23">
        <v>370100</v>
      </c>
    </row>
    <row r="392" spans="1:9">
      <c r="A392" s="12" t="s">
        <v>267</v>
      </c>
      <c r="B392" s="13" t="s">
        <v>17</v>
      </c>
      <c r="C392" s="13" t="s">
        <v>82</v>
      </c>
      <c r="D392" s="13" t="s">
        <v>100</v>
      </c>
      <c r="E392" s="13"/>
      <c r="F392" s="13"/>
      <c r="G392" s="51">
        <f>G393+G396</f>
        <v>2023400</v>
      </c>
      <c r="H392" s="51">
        <f>H393+H396</f>
        <v>2282600</v>
      </c>
      <c r="I392" s="65">
        <f>I393+I396</f>
        <v>2359700</v>
      </c>
    </row>
    <row r="393" spans="1:9" ht="127.5">
      <c r="A393" s="12" t="s">
        <v>249</v>
      </c>
      <c r="B393" s="13" t="s">
        <v>17</v>
      </c>
      <c r="C393" s="13" t="s">
        <v>82</v>
      </c>
      <c r="D393" s="13" t="s">
        <v>100</v>
      </c>
      <c r="E393" s="13" t="s">
        <v>250</v>
      </c>
      <c r="F393" s="13"/>
      <c r="G393" s="51">
        <f>G394+G395</f>
        <v>164000</v>
      </c>
      <c r="H393" s="51">
        <f>H394+H395</f>
        <v>348500</v>
      </c>
      <c r="I393" s="51">
        <f>I394+I395</f>
        <v>348500</v>
      </c>
    </row>
    <row r="394" spans="1:9" ht="25.5">
      <c r="A394" s="12" t="s">
        <v>23</v>
      </c>
      <c r="B394" s="13" t="s">
        <v>17</v>
      </c>
      <c r="C394" s="13" t="s">
        <v>82</v>
      </c>
      <c r="D394" s="13" t="s">
        <v>100</v>
      </c>
      <c r="E394" s="13" t="s">
        <v>250</v>
      </c>
      <c r="F394" s="13" t="s">
        <v>24</v>
      </c>
      <c r="G394" s="23">
        <v>125960</v>
      </c>
      <c r="H394" s="23">
        <v>267600</v>
      </c>
      <c r="I394" s="23">
        <v>267600</v>
      </c>
    </row>
    <row r="395" spans="1:9" ht="38.25">
      <c r="A395" s="12" t="s">
        <v>25</v>
      </c>
      <c r="B395" s="13" t="s">
        <v>17</v>
      </c>
      <c r="C395" s="13" t="s">
        <v>82</v>
      </c>
      <c r="D395" s="13" t="s">
        <v>100</v>
      </c>
      <c r="E395" s="13" t="s">
        <v>250</v>
      </c>
      <c r="F395" s="13" t="s">
        <v>26</v>
      </c>
      <c r="G395" s="23">
        <v>38040</v>
      </c>
      <c r="H395" s="23">
        <v>80900</v>
      </c>
      <c r="I395" s="23">
        <v>80900</v>
      </c>
    </row>
    <row r="396" spans="1:9" ht="140.25">
      <c r="A396" s="12" t="s">
        <v>255</v>
      </c>
      <c r="B396" s="13" t="s">
        <v>17</v>
      </c>
      <c r="C396" s="13" t="s">
        <v>82</v>
      </c>
      <c r="D396" s="13" t="s">
        <v>100</v>
      </c>
      <c r="E396" s="13" t="s">
        <v>256</v>
      </c>
      <c r="F396" s="13"/>
      <c r="G396" s="51">
        <f>G397+G398+G399+G400</f>
        <v>1859400</v>
      </c>
      <c r="H396" s="51">
        <f>H397+H398+H399+H400</f>
        <v>1934100</v>
      </c>
      <c r="I396" s="51">
        <f>I397+I398+I399+I400</f>
        <v>2011200</v>
      </c>
    </row>
    <row r="397" spans="1:9" ht="25.5">
      <c r="A397" s="12" t="s">
        <v>23</v>
      </c>
      <c r="B397" s="13" t="s">
        <v>17</v>
      </c>
      <c r="C397" s="13" t="s">
        <v>82</v>
      </c>
      <c r="D397" s="13" t="s">
        <v>100</v>
      </c>
      <c r="E397" s="13" t="s">
        <v>256</v>
      </c>
      <c r="F397" s="13" t="s">
        <v>24</v>
      </c>
      <c r="G397" s="23">
        <v>785100</v>
      </c>
      <c r="H397" s="23">
        <v>824500</v>
      </c>
      <c r="I397" s="23">
        <v>824500</v>
      </c>
    </row>
    <row r="398" spans="1:9" ht="38.25">
      <c r="A398" s="12" t="s">
        <v>25</v>
      </c>
      <c r="B398" s="13" t="s">
        <v>17</v>
      </c>
      <c r="C398" s="13" t="s">
        <v>82</v>
      </c>
      <c r="D398" s="13" t="s">
        <v>100</v>
      </c>
      <c r="E398" s="13" t="s">
        <v>256</v>
      </c>
      <c r="F398" s="13" t="s">
        <v>26</v>
      </c>
      <c r="G398" s="23">
        <v>237100</v>
      </c>
      <c r="H398" s="23">
        <v>249000</v>
      </c>
      <c r="I398" s="23">
        <v>249000</v>
      </c>
    </row>
    <row r="399" spans="1:9">
      <c r="A399" s="12" t="s">
        <v>37</v>
      </c>
      <c r="B399" s="13" t="s">
        <v>17</v>
      </c>
      <c r="C399" s="13" t="s">
        <v>82</v>
      </c>
      <c r="D399" s="13" t="s">
        <v>100</v>
      </c>
      <c r="E399" s="13" t="s">
        <v>256</v>
      </c>
      <c r="F399" s="13" t="s">
        <v>38</v>
      </c>
      <c r="G399" s="23">
        <v>717200</v>
      </c>
      <c r="H399" s="23">
        <v>740600</v>
      </c>
      <c r="I399" s="23">
        <v>817700</v>
      </c>
    </row>
    <row r="400" spans="1:9">
      <c r="A400" s="12" t="s">
        <v>53</v>
      </c>
      <c r="B400" s="13" t="s">
        <v>17</v>
      </c>
      <c r="C400" s="13" t="s">
        <v>82</v>
      </c>
      <c r="D400" s="13" t="s">
        <v>100</v>
      </c>
      <c r="E400" s="13" t="s">
        <v>256</v>
      </c>
      <c r="F400" s="13" t="s">
        <v>54</v>
      </c>
      <c r="G400" s="23">
        <v>120000</v>
      </c>
      <c r="H400" s="23">
        <v>120000</v>
      </c>
      <c r="I400" s="23">
        <v>120000</v>
      </c>
    </row>
    <row r="401" spans="1:12">
      <c r="A401" s="12" t="s">
        <v>268</v>
      </c>
      <c r="B401" s="13" t="s">
        <v>17</v>
      </c>
      <c r="C401" s="13" t="s">
        <v>40</v>
      </c>
      <c r="D401" s="13" t="s">
        <v>20</v>
      </c>
      <c r="E401" s="13"/>
      <c r="F401" s="13"/>
      <c r="G401" s="51">
        <f>G402+G404+G406</f>
        <v>10788053</v>
      </c>
      <c r="H401" s="51">
        <f>H402+H404+H406</f>
        <v>9944400</v>
      </c>
      <c r="I401" s="65">
        <f>I402+I404+I406</f>
        <v>9717400</v>
      </c>
    </row>
    <row r="402" spans="1:12" ht="38.25">
      <c r="A402" s="12" t="s">
        <v>272</v>
      </c>
      <c r="B402" s="13" t="s">
        <v>17</v>
      </c>
      <c r="C402" s="13" t="s">
        <v>40</v>
      </c>
      <c r="D402" s="13" t="s">
        <v>20</v>
      </c>
      <c r="E402" s="13" t="s">
        <v>273</v>
      </c>
      <c r="F402" s="13"/>
      <c r="G402" s="51">
        <f>G403</f>
        <v>122400</v>
      </c>
      <c r="H402" s="51">
        <f>H403</f>
        <v>0</v>
      </c>
      <c r="I402" s="51">
        <f>I403</f>
        <v>0</v>
      </c>
    </row>
    <row r="403" spans="1:12">
      <c r="A403" s="12" t="s">
        <v>331</v>
      </c>
      <c r="B403" s="13" t="s">
        <v>17</v>
      </c>
      <c r="C403" s="13" t="s">
        <v>40</v>
      </c>
      <c r="D403" s="13" t="s">
        <v>20</v>
      </c>
      <c r="E403" s="13" t="s">
        <v>273</v>
      </c>
      <c r="F403" s="43" t="s">
        <v>181</v>
      </c>
      <c r="G403" s="23">
        <v>122400</v>
      </c>
      <c r="H403" s="23">
        <v>0</v>
      </c>
      <c r="I403" s="23">
        <v>0</v>
      </c>
    </row>
    <row r="404" spans="1:12" ht="51">
      <c r="A404" s="12" t="s">
        <v>195</v>
      </c>
      <c r="B404" s="13" t="s">
        <v>17</v>
      </c>
      <c r="C404" s="13" t="s">
        <v>40</v>
      </c>
      <c r="D404" s="13" t="s">
        <v>20</v>
      </c>
      <c r="E404" s="13" t="s">
        <v>274</v>
      </c>
      <c r="F404" s="13"/>
      <c r="G404" s="51">
        <f>G405</f>
        <v>52500</v>
      </c>
      <c r="H404" s="51">
        <f>H405</f>
        <v>0</v>
      </c>
      <c r="I404" s="51">
        <f>I405</f>
        <v>0</v>
      </c>
    </row>
    <row r="405" spans="1:12">
      <c r="A405" s="12" t="s">
        <v>331</v>
      </c>
      <c r="B405" s="13" t="s">
        <v>17</v>
      </c>
      <c r="C405" s="13" t="s">
        <v>40</v>
      </c>
      <c r="D405" s="13" t="s">
        <v>20</v>
      </c>
      <c r="E405" s="13" t="s">
        <v>274</v>
      </c>
      <c r="F405" s="43" t="s">
        <v>181</v>
      </c>
      <c r="G405" s="23">
        <v>52500</v>
      </c>
      <c r="H405" s="23">
        <v>0</v>
      </c>
      <c r="I405" s="23">
        <v>0</v>
      </c>
    </row>
    <row r="406" spans="1:12" ht="25.5">
      <c r="A406" s="12" t="s">
        <v>270</v>
      </c>
      <c r="B406" s="17" t="s">
        <v>17</v>
      </c>
      <c r="C406" s="17" t="s">
        <v>40</v>
      </c>
      <c r="D406" s="17" t="s">
        <v>20</v>
      </c>
      <c r="E406" s="28" t="s">
        <v>313</v>
      </c>
      <c r="F406" s="17"/>
      <c r="G406" s="51">
        <f>G407+G408+G409</f>
        <v>10613153</v>
      </c>
      <c r="H406" s="51">
        <f>H407+H408</f>
        <v>9944400</v>
      </c>
      <c r="I406" s="51">
        <f>I407+I408</f>
        <v>9717400</v>
      </c>
      <c r="J406" s="1" t="s">
        <v>309</v>
      </c>
      <c r="L406" s="1" t="s">
        <v>309</v>
      </c>
    </row>
    <row r="407" spans="1:12" ht="51">
      <c r="A407" s="12" t="s">
        <v>170</v>
      </c>
      <c r="B407" s="61" t="s">
        <v>17</v>
      </c>
      <c r="C407" s="21" t="s">
        <v>40</v>
      </c>
      <c r="D407" s="21" t="s">
        <v>20</v>
      </c>
      <c r="E407" s="21" t="s">
        <v>269</v>
      </c>
      <c r="F407" s="21" t="s">
        <v>171</v>
      </c>
      <c r="G407" s="23">
        <v>153300</v>
      </c>
      <c r="H407" s="23">
        <v>159400</v>
      </c>
      <c r="I407" s="23">
        <v>165800</v>
      </c>
    </row>
    <row r="408" spans="1:12" ht="51">
      <c r="A408" s="12" t="s">
        <v>170</v>
      </c>
      <c r="B408" s="17" t="s">
        <v>17</v>
      </c>
      <c r="C408" s="17" t="s">
        <v>40</v>
      </c>
      <c r="D408" s="17" t="s">
        <v>20</v>
      </c>
      <c r="E408" s="17" t="s">
        <v>271</v>
      </c>
      <c r="F408" s="17" t="s">
        <v>171</v>
      </c>
      <c r="G408" s="23">
        <f>10364900+10000+5000</f>
        <v>10379900</v>
      </c>
      <c r="H408" s="23">
        <v>9785000</v>
      </c>
      <c r="I408" s="23">
        <v>9551600</v>
      </c>
    </row>
    <row r="409" spans="1:12" ht="63.75" customHeight="1">
      <c r="A409" s="12" t="s">
        <v>437</v>
      </c>
      <c r="B409" s="63" t="s">
        <v>17</v>
      </c>
      <c r="C409" s="63" t="s">
        <v>40</v>
      </c>
      <c r="D409" s="63" t="s">
        <v>20</v>
      </c>
      <c r="E409" s="63"/>
      <c r="F409" s="63"/>
      <c r="G409" s="51">
        <f>G410</f>
        <v>79953</v>
      </c>
      <c r="H409" s="23">
        <v>0</v>
      </c>
      <c r="I409" s="23">
        <v>0</v>
      </c>
    </row>
    <row r="410" spans="1:12" ht="51.75" customHeight="1">
      <c r="A410" s="12" t="s">
        <v>170</v>
      </c>
      <c r="B410" s="63" t="s">
        <v>17</v>
      </c>
      <c r="C410" s="63" t="s">
        <v>40</v>
      </c>
      <c r="D410" s="63" t="s">
        <v>20</v>
      </c>
      <c r="E410" s="63" t="s">
        <v>438</v>
      </c>
      <c r="F410" s="63" t="s">
        <v>171</v>
      </c>
      <c r="G410" s="23">
        <v>79953</v>
      </c>
      <c r="H410" s="23">
        <v>0</v>
      </c>
      <c r="I410" s="23">
        <v>0</v>
      </c>
    </row>
    <row r="411" spans="1:12">
      <c r="A411" s="12" t="s">
        <v>322</v>
      </c>
      <c r="B411" s="13" t="s">
        <v>17</v>
      </c>
      <c r="C411" s="13" t="s">
        <v>123</v>
      </c>
      <c r="D411" s="13" t="s">
        <v>20</v>
      </c>
      <c r="E411" s="13"/>
      <c r="F411" s="13"/>
      <c r="G411" s="51">
        <f t="shared" ref="G411:I412" si="6">G412</f>
        <v>200000</v>
      </c>
      <c r="H411" s="51">
        <f t="shared" si="6"/>
        <v>200000</v>
      </c>
      <c r="I411" s="65">
        <f t="shared" si="6"/>
        <v>200000</v>
      </c>
    </row>
    <row r="412" spans="1:12" ht="38.25">
      <c r="A412" s="12" t="s">
        <v>276</v>
      </c>
      <c r="B412" s="13" t="s">
        <v>17</v>
      </c>
      <c r="C412" s="13" t="s">
        <v>123</v>
      </c>
      <c r="D412" s="13" t="s">
        <v>20</v>
      </c>
      <c r="E412" s="13" t="s">
        <v>277</v>
      </c>
      <c r="F412" s="13"/>
      <c r="G412" s="23">
        <f t="shared" si="6"/>
        <v>200000</v>
      </c>
      <c r="H412" s="23">
        <f t="shared" si="6"/>
        <v>200000</v>
      </c>
      <c r="I412" s="23">
        <f t="shared" si="6"/>
        <v>200000</v>
      </c>
    </row>
    <row r="413" spans="1:12" ht="51">
      <c r="A413" s="12" t="s">
        <v>107</v>
      </c>
      <c r="B413" s="13" t="s">
        <v>17</v>
      </c>
      <c r="C413" s="13" t="s">
        <v>123</v>
      </c>
      <c r="D413" s="13" t="s">
        <v>20</v>
      </c>
      <c r="E413" s="13" t="s">
        <v>277</v>
      </c>
      <c r="F413" s="43" t="s">
        <v>108</v>
      </c>
      <c r="G413" s="23">
        <v>200000</v>
      </c>
      <c r="H413" s="23">
        <v>200000</v>
      </c>
      <c r="I413" s="23">
        <v>200000</v>
      </c>
    </row>
    <row r="414" spans="1:12">
      <c r="A414" s="19" t="s">
        <v>278</v>
      </c>
      <c r="B414" s="13" t="s">
        <v>279</v>
      </c>
      <c r="C414" s="13"/>
      <c r="D414" s="13"/>
      <c r="E414" s="13"/>
      <c r="F414" s="13"/>
      <c r="G414" s="27">
        <f>G415+G428</f>
        <v>2234840.8099999996</v>
      </c>
      <c r="H414" s="27">
        <f>H415+H428</f>
        <v>2294000</v>
      </c>
      <c r="I414" s="27">
        <f>I415+I428</f>
        <v>2309000</v>
      </c>
    </row>
    <row r="415" spans="1:12" ht="38.25">
      <c r="A415" s="12" t="s">
        <v>280</v>
      </c>
      <c r="B415" s="13" t="s">
        <v>279</v>
      </c>
      <c r="C415" s="13" t="s">
        <v>19</v>
      </c>
      <c r="D415" s="13" t="s">
        <v>72</v>
      </c>
      <c r="E415" s="13"/>
      <c r="F415" s="13"/>
      <c r="G415" s="51">
        <f>G416+G419+G422+G425</f>
        <v>2129840.8099999996</v>
      </c>
      <c r="H415" s="51">
        <f>H416+H422</f>
        <v>2184000</v>
      </c>
      <c r="I415" s="51">
        <f>I416+I422</f>
        <v>2184000</v>
      </c>
    </row>
    <row r="416" spans="1:12" ht="25.5">
      <c r="A416" s="12" t="s">
        <v>281</v>
      </c>
      <c r="B416" s="13" t="s">
        <v>279</v>
      </c>
      <c r="C416" s="13" t="s">
        <v>19</v>
      </c>
      <c r="D416" s="13" t="s">
        <v>72</v>
      </c>
      <c r="E416" s="13" t="s">
        <v>282</v>
      </c>
      <c r="F416" s="13"/>
      <c r="G416" s="23">
        <f>G417+G418</f>
        <v>1366000</v>
      </c>
      <c r="H416" s="23">
        <f>H417+H418</f>
        <v>1424800</v>
      </c>
      <c r="I416" s="23">
        <f>I417+I418</f>
        <v>1424800</v>
      </c>
    </row>
    <row r="417" spans="1:9" ht="25.5">
      <c r="A417" s="12" t="s">
        <v>23</v>
      </c>
      <c r="B417" s="13" t="s">
        <v>279</v>
      </c>
      <c r="C417" s="13" t="s">
        <v>19</v>
      </c>
      <c r="D417" s="13" t="s">
        <v>72</v>
      </c>
      <c r="E417" s="13" t="s">
        <v>282</v>
      </c>
      <c r="F417" s="13" t="s">
        <v>24</v>
      </c>
      <c r="G417" s="23">
        <v>1115327.1599999999</v>
      </c>
      <c r="H417" s="23">
        <v>1159940</v>
      </c>
      <c r="I417" s="23">
        <v>1206338</v>
      </c>
    </row>
    <row r="418" spans="1:9" ht="38.25">
      <c r="A418" s="12" t="s">
        <v>25</v>
      </c>
      <c r="B418" s="13" t="s">
        <v>279</v>
      </c>
      <c r="C418" s="13" t="s">
        <v>19</v>
      </c>
      <c r="D418" s="13" t="s">
        <v>72</v>
      </c>
      <c r="E418" s="13" t="s">
        <v>282</v>
      </c>
      <c r="F418" s="13" t="s">
        <v>26</v>
      </c>
      <c r="G418" s="23">
        <v>250672.84</v>
      </c>
      <c r="H418" s="23">
        <v>264860</v>
      </c>
      <c r="I418" s="23">
        <v>218462</v>
      </c>
    </row>
    <row r="419" spans="1:9" ht="81" customHeight="1">
      <c r="A419" s="12" t="s">
        <v>422</v>
      </c>
      <c r="B419" s="63" t="s">
        <v>279</v>
      </c>
      <c r="C419" s="63" t="s">
        <v>19</v>
      </c>
      <c r="D419" s="63" t="s">
        <v>72</v>
      </c>
      <c r="E419" s="63"/>
      <c r="F419" s="63"/>
      <c r="G419" s="51">
        <f>G420+G421</f>
        <v>17867.22</v>
      </c>
      <c r="H419" s="23">
        <v>0</v>
      </c>
      <c r="I419" s="23">
        <v>0</v>
      </c>
    </row>
    <row r="420" spans="1:9" ht="27" customHeight="1">
      <c r="A420" s="12" t="s">
        <v>23</v>
      </c>
      <c r="B420" s="63" t="s">
        <v>279</v>
      </c>
      <c r="C420" s="63" t="s">
        <v>19</v>
      </c>
      <c r="D420" s="63" t="s">
        <v>72</v>
      </c>
      <c r="E420" s="63" t="s">
        <v>423</v>
      </c>
      <c r="F420" s="63" t="s">
        <v>24</v>
      </c>
      <c r="G420" s="23">
        <v>13722.9</v>
      </c>
      <c r="H420" s="23">
        <v>0</v>
      </c>
      <c r="I420" s="23">
        <v>0</v>
      </c>
    </row>
    <row r="421" spans="1:9" ht="37.5" customHeight="1">
      <c r="A421" s="12" t="s">
        <v>25</v>
      </c>
      <c r="B421" s="63" t="s">
        <v>279</v>
      </c>
      <c r="C421" s="63" t="s">
        <v>19</v>
      </c>
      <c r="D421" s="63" t="s">
        <v>72</v>
      </c>
      <c r="E421" s="63" t="s">
        <v>423</v>
      </c>
      <c r="F421" s="63" t="s">
        <v>26</v>
      </c>
      <c r="G421" s="23">
        <v>4144.32</v>
      </c>
      <c r="H421" s="23">
        <v>0</v>
      </c>
      <c r="I421" s="23">
        <v>0</v>
      </c>
    </row>
    <row r="422" spans="1:9" ht="25.5">
      <c r="A422" s="12" t="s">
        <v>29</v>
      </c>
      <c r="B422" s="13" t="s">
        <v>279</v>
      </c>
      <c r="C422" s="13" t="s">
        <v>19</v>
      </c>
      <c r="D422" s="13" t="s">
        <v>72</v>
      </c>
      <c r="E422" s="13" t="s">
        <v>30</v>
      </c>
      <c r="F422" s="13"/>
      <c r="G422" s="51">
        <f>G423+G424</f>
        <v>730000</v>
      </c>
      <c r="H422" s="23">
        <f>H423+H424</f>
        <v>759200</v>
      </c>
      <c r="I422" s="23">
        <f>I423+I424</f>
        <v>759200</v>
      </c>
    </row>
    <row r="423" spans="1:9" ht="25.5">
      <c r="A423" s="12" t="s">
        <v>23</v>
      </c>
      <c r="B423" s="13" t="s">
        <v>279</v>
      </c>
      <c r="C423" s="13" t="s">
        <v>19</v>
      </c>
      <c r="D423" s="13" t="s">
        <v>72</v>
      </c>
      <c r="E423" s="13" t="s">
        <v>30</v>
      </c>
      <c r="F423" s="13" t="s">
        <v>24</v>
      </c>
      <c r="G423" s="23">
        <v>569272.76</v>
      </c>
      <c r="H423" s="23">
        <v>592044</v>
      </c>
      <c r="I423" s="23">
        <v>615726</v>
      </c>
    </row>
    <row r="424" spans="1:9" ht="38.25">
      <c r="A424" s="12" t="s">
        <v>25</v>
      </c>
      <c r="B424" s="13" t="s">
        <v>279</v>
      </c>
      <c r="C424" s="13" t="s">
        <v>19</v>
      </c>
      <c r="D424" s="13" t="s">
        <v>72</v>
      </c>
      <c r="E424" s="13" t="s">
        <v>30</v>
      </c>
      <c r="F424" s="13" t="s">
        <v>26</v>
      </c>
      <c r="G424" s="23">
        <v>160727.24</v>
      </c>
      <c r="H424" s="23">
        <v>167156</v>
      </c>
      <c r="I424" s="23">
        <v>143474</v>
      </c>
    </row>
    <row r="425" spans="1:9" ht="101.25" customHeight="1">
      <c r="A425" s="12" t="s">
        <v>424</v>
      </c>
      <c r="B425" s="63" t="s">
        <v>279</v>
      </c>
      <c r="C425" s="63" t="s">
        <v>19</v>
      </c>
      <c r="D425" s="63" t="s">
        <v>72</v>
      </c>
      <c r="E425" s="63"/>
      <c r="F425" s="63"/>
      <c r="G425" s="51">
        <f>G426+G427</f>
        <v>15973.59</v>
      </c>
      <c r="H425" s="23">
        <v>0</v>
      </c>
      <c r="I425" s="23">
        <v>0</v>
      </c>
    </row>
    <row r="426" spans="1:9" ht="27" customHeight="1">
      <c r="A426" s="12" t="s">
        <v>23</v>
      </c>
      <c r="B426" s="63" t="s">
        <v>279</v>
      </c>
      <c r="C426" s="63" t="s">
        <v>19</v>
      </c>
      <c r="D426" s="63" t="s">
        <v>72</v>
      </c>
      <c r="E426" s="63" t="s">
        <v>414</v>
      </c>
      <c r="F426" s="63" t="s">
        <v>24</v>
      </c>
      <c r="G426" s="23">
        <v>12268.5</v>
      </c>
      <c r="H426" s="23">
        <v>0</v>
      </c>
      <c r="I426" s="23">
        <v>0</v>
      </c>
    </row>
    <row r="427" spans="1:9" ht="42.75" customHeight="1">
      <c r="A427" s="12" t="s">
        <v>25</v>
      </c>
      <c r="B427" s="63" t="s">
        <v>279</v>
      </c>
      <c r="C427" s="63" t="s">
        <v>19</v>
      </c>
      <c r="D427" s="63" t="s">
        <v>72</v>
      </c>
      <c r="E427" s="63" t="s">
        <v>414</v>
      </c>
      <c r="F427" s="63" t="s">
        <v>26</v>
      </c>
      <c r="G427" s="23">
        <v>3705.09</v>
      </c>
      <c r="H427" s="23">
        <v>0</v>
      </c>
      <c r="I427" s="23">
        <v>0</v>
      </c>
    </row>
    <row r="428" spans="1:9">
      <c r="A428" s="12" t="s">
        <v>45</v>
      </c>
      <c r="B428" s="13" t="s">
        <v>279</v>
      </c>
      <c r="C428" s="13" t="s">
        <v>19</v>
      </c>
      <c r="D428" s="13" t="s">
        <v>46</v>
      </c>
      <c r="E428" s="13"/>
      <c r="F428" s="13"/>
      <c r="G428" s="51">
        <f>G429+G431</f>
        <v>105000</v>
      </c>
      <c r="H428" s="51">
        <f>H429+H431</f>
        <v>110000</v>
      </c>
      <c r="I428" s="51">
        <f>I429+I431</f>
        <v>125000</v>
      </c>
    </row>
    <row r="429" spans="1:9" ht="25.5">
      <c r="A429" s="12" t="s">
        <v>29</v>
      </c>
      <c r="B429" s="13" t="s">
        <v>279</v>
      </c>
      <c r="C429" s="13" t="s">
        <v>19</v>
      </c>
      <c r="D429" s="13" t="s">
        <v>46</v>
      </c>
      <c r="E429" s="13" t="s">
        <v>30</v>
      </c>
      <c r="F429" s="13"/>
      <c r="G429" s="51">
        <f>G430</f>
        <v>6000</v>
      </c>
      <c r="H429" s="51">
        <f>H430</f>
        <v>0</v>
      </c>
      <c r="I429" s="51">
        <f>I430</f>
        <v>0</v>
      </c>
    </row>
    <row r="430" spans="1:9" ht="38.25">
      <c r="A430" s="12" t="s">
        <v>69</v>
      </c>
      <c r="B430" s="13" t="s">
        <v>279</v>
      </c>
      <c r="C430" s="13" t="s">
        <v>19</v>
      </c>
      <c r="D430" s="13" t="s">
        <v>46</v>
      </c>
      <c r="E430" s="13" t="s">
        <v>30</v>
      </c>
      <c r="F430" s="13" t="s">
        <v>70</v>
      </c>
      <c r="G430" s="23">
        <v>6000</v>
      </c>
      <c r="H430" s="23">
        <v>0</v>
      </c>
      <c r="I430" s="23">
        <v>0</v>
      </c>
    </row>
    <row r="431" spans="1:9">
      <c r="A431" s="12" t="s">
        <v>275</v>
      </c>
      <c r="B431" s="13" t="s">
        <v>279</v>
      </c>
      <c r="C431" s="13" t="s">
        <v>123</v>
      </c>
      <c r="D431" s="13" t="s">
        <v>20</v>
      </c>
      <c r="E431" s="13"/>
      <c r="F431" s="13"/>
      <c r="G431" s="51">
        <f t="shared" ref="G431:I432" si="7">G432</f>
        <v>99000</v>
      </c>
      <c r="H431" s="51">
        <f t="shared" si="7"/>
        <v>110000</v>
      </c>
      <c r="I431" s="51">
        <f t="shared" si="7"/>
        <v>125000</v>
      </c>
    </row>
    <row r="432" spans="1:9" ht="25.5">
      <c r="A432" s="12" t="s">
        <v>283</v>
      </c>
      <c r="B432" s="13" t="s">
        <v>279</v>
      </c>
      <c r="C432" s="13" t="s">
        <v>123</v>
      </c>
      <c r="D432" s="13" t="s">
        <v>20</v>
      </c>
      <c r="E432" s="13" t="s">
        <v>284</v>
      </c>
      <c r="F432" s="13"/>
      <c r="G432" s="23">
        <f t="shared" si="7"/>
        <v>99000</v>
      </c>
      <c r="H432" s="23">
        <f t="shared" si="7"/>
        <v>110000</v>
      </c>
      <c r="I432" s="23">
        <f t="shared" si="7"/>
        <v>125000</v>
      </c>
    </row>
    <row r="433" spans="1:9" ht="51">
      <c r="A433" s="12" t="s">
        <v>107</v>
      </c>
      <c r="B433" s="13" t="s">
        <v>279</v>
      </c>
      <c r="C433" s="13" t="s">
        <v>123</v>
      </c>
      <c r="D433" s="13" t="s">
        <v>20</v>
      </c>
      <c r="E433" s="13" t="s">
        <v>284</v>
      </c>
      <c r="F433" s="43" t="s">
        <v>108</v>
      </c>
      <c r="G433" s="23">
        <v>99000</v>
      </c>
      <c r="H433" s="23">
        <v>110000</v>
      </c>
      <c r="I433" s="23">
        <v>125000</v>
      </c>
    </row>
    <row r="434" spans="1:9">
      <c r="A434" s="19" t="s">
        <v>285</v>
      </c>
      <c r="B434" s="13" t="s">
        <v>286</v>
      </c>
      <c r="C434" s="13"/>
      <c r="D434" s="13"/>
      <c r="E434" s="13"/>
      <c r="F434" s="13"/>
      <c r="G434" s="27">
        <f>G435+G448</f>
        <v>1402470.51</v>
      </c>
      <c r="H434" s="27">
        <f>H435</f>
        <v>1913000</v>
      </c>
      <c r="I434" s="27">
        <f>I435</f>
        <v>1913000</v>
      </c>
    </row>
    <row r="435" spans="1:9" ht="38.25">
      <c r="A435" s="12" t="s">
        <v>287</v>
      </c>
      <c r="B435" s="13" t="s">
        <v>286</v>
      </c>
      <c r="C435" s="13" t="s">
        <v>19</v>
      </c>
      <c r="D435" s="13" t="s">
        <v>100</v>
      </c>
      <c r="E435" s="13"/>
      <c r="F435" s="13"/>
      <c r="G435" s="51">
        <f>G436+G439+G442+G445</f>
        <v>1392746.51</v>
      </c>
      <c r="H435" s="51">
        <f>H436+H442+H448</f>
        <v>1913000</v>
      </c>
      <c r="I435" s="51">
        <f>I436+I442+I448</f>
        <v>1913000</v>
      </c>
    </row>
    <row r="436" spans="1:9" ht="25.5">
      <c r="A436" s="12" t="s">
        <v>29</v>
      </c>
      <c r="B436" s="13" t="s">
        <v>286</v>
      </c>
      <c r="C436" s="13" t="s">
        <v>19</v>
      </c>
      <c r="D436" s="13" t="s">
        <v>100</v>
      </c>
      <c r="E436" s="13" t="s">
        <v>30</v>
      </c>
      <c r="F436" s="13"/>
      <c r="G436" s="51">
        <f>G437+G438</f>
        <v>544500</v>
      </c>
      <c r="H436" s="51">
        <f>H437+H438</f>
        <v>915000</v>
      </c>
      <c r="I436" s="51">
        <f>I437+I438</f>
        <v>915000</v>
      </c>
    </row>
    <row r="437" spans="1:9" ht="25.5">
      <c r="A437" s="12" t="s">
        <v>23</v>
      </c>
      <c r="B437" s="13" t="s">
        <v>286</v>
      </c>
      <c r="C437" s="13" t="s">
        <v>19</v>
      </c>
      <c r="D437" s="13" t="s">
        <v>100</v>
      </c>
      <c r="E437" s="13" t="s">
        <v>30</v>
      </c>
      <c r="F437" s="13" t="s">
        <v>24</v>
      </c>
      <c r="G437" s="23">
        <v>418200</v>
      </c>
      <c r="H437" s="23">
        <v>703000</v>
      </c>
      <c r="I437" s="23">
        <v>703000</v>
      </c>
    </row>
    <row r="438" spans="1:9" ht="38.25">
      <c r="A438" s="12" t="s">
        <v>25</v>
      </c>
      <c r="B438" s="13" t="s">
        <v>286</v>
      </c>
      <c r="C438" s="13" t="s">
        <v>19</v>
      </c>
      <c r="D438" s="13" t="s">
        <v>100</v>
      </c>
      <c r="E438" s="13" t="s">
        <v>30</v>
      </c>
      <c r="F438" s="13" t="s">
        <v>26</v>
      </c>
      <c r="G438" s="23">
        <v>126300</v>
      </c>
      <c r="H438" s="23">
        <v>212000</v>
      </c>
      <c r="I438" s="23">
        <v>212000</v>
      </c>
    </row>
    <row r="439" spans="1:9" ht="90" customHeight="1">
      <c r="A439" s="12" t="s">
        <v>413</v>
      </c>
      <c r="B439" s="63" t="s">
        <v>286</v>
      </c>
      <c r="C439" s="63" t="s">
        <v>19</v>
      </c>
      <c r="D439" s="63" t="s">
        <v>100</v>
      </c>
      <c r="E439" s="63"/>
      <c r="F439" s="63"/>
      <c r="G439" s="51">
        <f>G440+G441</f>
        <v>9177.08</v>
      </c>
      <c r="H439" s="23">
        <v>0</v>
      </c>
      <c r="I439" s="23">
        <v>0</v>
      </c>
    </row>
    <row r="440" spans="1:9" ht="28.5" customHeight="1">
      <c r="A440" s="12" t="s">
        <v>23</v>
      </c>
      <c r="B440" s="63" t="s">
        <v>286</v>
      </c>
      <c r="C440" s="63" t="s">
        <v>19</v>
      </c>
      <c r="D440" s="63" t="s">
        <v>100</v>
      </c>
      <c r="E440" s="63" t="s">
        <v>414</v>
      </c>
      <c r="F440" s="63" t="s">
        <v>24</v>
      </c>
      <c r="G440" s="23">
        <v>7048.45</v>
      </c>
      <c r="H440" s="23">
        <v>0</v>
      </c>
      <c r="I440" s="23">
        <v>0</v>
      </c>
    </row>
    <row r="441" spans="1:9" ht="45.75" customHeight="1">
      <c r="A441" s="12" t="s">
        <v>25</v>
      </c>
      <c r="B441" s="63" t="s">
        <v>286</v>
      </c>
      <c r="C441" s="63" t="s">
        <v>19</v>
      </c>
      <c r="D441" s="63" t="s">
        <v>100</v>
      </c>
      <c r="E441" s="63" t="s">
        <v>414</v>
      </c>
      <c r="F441" s="63" t="s">
        <v>26</v>
      </c>
      <c r="G441" s="23">
        <v>2128.63</v>
      </c>
      <c r="H441" s="23">
        <v>0</v>
      </c>
      <c r="I441" s="23">
        <v>0</v>
      </c>
    </row>
    <row r="442" spans="1:9" ht="25.5">
      <c r="A442" s="12" t="s">
        <v>288</v>
      </c>
      <c r="B442" s="13" t="s">
        <v>286</v>
      </c>
      <c r="C442" s="13" t="s">
        <v>19</v>
      </c>
      <c r="D442" s="13" t="s">
        <v>100</v>
      </c>
      <c r="E442" s="13" t="s">
        <v>289</v>
      </c>
      <c r="F442" s="13"/>
      <c r="G442" s="51">
        <f>G443+G444</f>
        <v>825500</v>
      </c>
      <c r="H442" s="51">
        <f>H443+H444</f>
        <v>998000</v>
      </c>
      <c r="I442" s="51">
        <f>I443+I444</f>
        <v>998000</v>
      </c>
    </row>
    <row r="443" spans="1:9" ht="25.5">
      <c r="A443" s="12" t="s">
        <v>23</v>
      </c>
      <c r="B443" s="13" t="s">
        <v>286</v>
      </c>
      <c r="C443" s="13" t="s">
        <v>19</v>
      </c>
      <c r="D443" s="13" t="s">
        <v>100</v>
      </c>
      <c r="E443" s="13" t="s">
        <v>289</v>
      </c>
      <c r="F443" s="13" t="s">
        <v>24</v>
      </c>
      <c r="G443" s="23">
        <v>634100</v>
      </c>
      <c r="H443" s="23">
        <v>696600</v>
      </c>
      <c r="I443" s="23">
        <v>696600</v>
      </c>
    </row>
    <row r="444" spans="1:9" ht="38.25">
      <c r="A444" s="12" t="s">
        <v>25</v>
      </c>
      <c r="B444" s="13" t="s">
        <v>286</v>
      </c>
      <c r="C444" s="13" t="s">
        <v>19</v>
      </c>
      <c r="D444" s="13" t="s">
        <v>100</v>
      </c>
      <c r="E444" s="13" t="s">
        <v>289</v>
      </c>
      <c r="F444" s="13" t="s">
        <v>26</v>
      </c>
      <c r="G444" s="23">
        <v>191400</v>
      </c>
      <c r="H444" s="23">
        <v>301400</v>
      </c>
      <c r="I444" s="23">
        <v>301400</v>
      </c>
    </row>
    <row r="445" spans="1:9" ht="90.75" customHeight="1">
      <c r="A445" s="12" t="s">
        <v>427</v>
      </c>
      <c r="B445" s="63" t="s">
        <v>286</v>
      </c>
      <c r="C445" s="63" t="s">
        <v>19</v>
      </c>
      <c r="D445" s="63" t="s">
        <v>100</v>
      </c>
      <c r="E445" s="63"/>
      <c r="F445" s="63"/>
      <c r="G445" s="51">
        <f>G446+G447</f>
        <v>13569.43</v>
      </c>
      <c r="H445" s="23">
        <v>0</v>
      </c>
      <c r="I445" s="23">
        <v>0</v>
      </c>
    </row>
    <row r="446" spans="1:9" ht="24" customHeight="1">
      <c r="A446" s="12" t="s">
        <v>23</v>
      </c>
      <c r="B446" s="63" t="s">
        <v>286</v>
      </c>
      <c r="C446" s="63" t="s">
        <v>19</v>
      </c>
      <c r="D446" s="63" t="s">
        <v>100</v>
      </c>
      <c r="E446" s="63" t="s">
        <v>428</v>
      </c>
      <c r="F446" s="63" t="s">
        <v>24</v>
      </c>
      <c r="G446" s="23">
        <v>10421.99</v>
      </c>
      <c r="H446" s="23">
        <v>0</v>
      </c>
      <c r="I446" s="23">
        <v>0</v>
      </c>
    </row>
    <row r="447" spans="1:9" ht="44.25" customHeight="1">
      <c r="A447" s="12" t="s">
        <v>25</v>
      </c>
      <c r="B447" s="63" t="s">
        <v>286</v>
      </c>
      <c r="C447" s="63" t="s">
        <v>19</v>
      </c>
      <c r="D447" s="63" t="s">
        <v>100</v>
      </c>
      <c r="E447" s="63" t="s">
        <v>428</v>
      </c>
      <c r="F447" s="63" t="s">
        <v>26</v>
      </c>
      <c r="G447" s="23">
        <v>3147.44</v>
      </c>
      <c r="H447" s="23">
        <v>0</v>
      </c>
      <c r="I447" s="23">
        <v>0</v>
      </c>
    </row>
    <row r="448" spans="1:9">
      <c r="A448" s="12" t="s">
        <v>45</v>
      </c>
      <c r="B448" s="13" t="s">
        <v>286</v>
      </c>
      <c r="C448" s="13" t="s">
        <v>19</v>
      </c>
      <c r="D448" s="13" t="s">
        <v>46</v>
      </c>
      <c r="E448" s="13"/>
      <c r="F448" s="13"/>
      <c r="G448" s="51">
        <f>G449</f>
        <v>9724</v>
      </c>
      <c r="H448" s="51">
        <f>H449</f>
        <v>0</v>
      </c>
      <c r="I448" s="51">
        <f>I449</f>
        <v>0</v>
      </c>
    </row>
    <row r="449" spans="1:12" ht="25.5">
      <c r="A449" s="12" t="s">
        <v>29</v>
      </c>
      <c r="B449" s="13" t="s">
        <v>286</v>
      </c>
      <c r="C449" s="13" t="s">
        <v>19</v>
      </c>
      <c r="D449" s="13" t="s">
        <v>46</v>
      </c>
      <c r="E449" s="13" t="s">
        <v>30</v>
      </c>
      <c r="F449" s="13"/>
      <c r="G449" s="23">
        <f>G450</f>
        <v>9724</v>
      </c>
      <c r="H449" s="23">
        <v>0</v>
      </c>
      <c r="I449" s="23">
        <v>0</v>
      </c>
    </row>
    <row r="450" spans="1:12" ht="38.25">
      <c r="A450" s="12" t="s">
        <v>69</v>
      </c>
      <c r="B450" s="13" t="s">
        <v>286</v>
      </c>
      <c r="C450" s="13" t="s">
        <v>19</v>
      </c>
      <c r="D450" s="13" t="s">
        <v>46</v>
      </c>
      <c r="E450" s="13" t="s">
        <v>30</v>
      </c>
      <c r="F450" s="13" t="s">
        <v>70</v>
      </c>
      <c r="G450" s="23">
        <f>6000+3724</f>
        <v>9724</v>
      </c>
      <c r="H450" s="23">
        <v>0</v>
      </c>
      <c r="I450" s="23">
        <v>0</v>
      </c>
    </row>
    <row r="451" spans="1:12" ht="30">
      <c r="A451" s="19" t="s">
        <v>2</v>
      </c>
      <c r="B451" s="13" t="s">
        <v>290</v>
      </c>
      <c r="C451" s="13"/>
      <c r="D451" s="13"/>
      <c r="E451" s="13"/>
      <c r="F451" s="13"/>
      <c r="G451" s="27">
        <f>G452+G463</f>
        <v>3057110.03</v>
      </c>
      <c r="H451" s="27">
        <f>H452</f>
        <v>3258900</v>
      </c>
      <c r="I451" s="27">
        <f>I452</f>
        <v>3258900</v>
      </c>
    </row>
    <row r="452" spans="1:12" ht="38.25">
      <c r="A452" s="12" t="s">
        <v>287</v>
      </c>
      <c r="B452" s="13" t="s">
        <v>290</v>
      </c>
      <c r="C452" s="13" t="s">
        <v>19</v>
      </c>
      <c r="D452" s="13" t="s">
        <v>100</v>
      </c>
      <c r="E452" s="13"/>
      <c r="F452" s="13"/>
      <c r="G452" s="51">
        <f>G453+G457+G460</f>
        <v>3051110.03</v>
      </c>
      <c r="H452" s="51">
        <f>H453+H463</f>
        <v>3258900</v>
      </c>
      <c r="I452" s="51">
        <f>I453+I463</f>
        <v>3258900</v>
      </c>
    </row>
    <row r="453" spans="1:12" ht="25.5">
      <c r="A453" s="12" t="s">
        <v>291</v>
      </c>
      <c r="B453" s="13" t="s">
        <v>290</v>
      </c>
      <c r="C453" s="13" t="s">
        <v>19</v>
      </c>
      <c r="D453" s="13" t="s">
        <v>100</v>
      </c>
      <c r="E453" s="13" t="s">
        <v>292</v>
      </c>
      <c r="F453" s="13"/>
      <c r="G453" s="51">
        <f>G454+G455+G456</f>
        <v>3008276</v>
      </c>
      <c r="H453" s="51">
        <f>H454+H455+H456</f>
        <v>3258900</v>
      </c>
      <c r="I453" s="51">
        <f>I454+I455+I456</f>
        <v>3258900</v>
      </c>
    </row>
    <row r="454" spans="1:12" ht="25.5">
      <c r="A454" s="12" t="s">
        <v>23</v>
      </c>
      <c r="B454" s="13" t="s">
        <v>290</v>
      </c>
      <c r="C454" s="13" t="s">
        <v>19</v>
      </c>
      <c r="D454" s="13" t="s">
        <v>100</v>
      </c>
      <c r="E454" s="13" t="s">
        <v>292</v>
      </c>
      <c r="F454" s="13" t="s">
        <v>24</v>
      </c>
      <c r="G454" s="23">
        <f>2304147.48-3724-76805</f>
        <v>2223618.48</v>
      </c>
      <c r="H454" s="23">
        <v>2396313.38</v>
      </c>
      <c r="I454" s="23">
        <v>2396313.38</v>
      </c>
    </row>
    <row r="455" spans="1:12" ht="38.25">
      <c r="A455" s="12" t="s">
        <v>25</v>
      </c>
      <c r="B455" s="13" t="s">
        <v>290</v>
      </c>
      <c r="C455" s="13" t="s">
        <v>19</v>
      </c>
      <c r="D455" s="13" t="s">
        <v>100</v>
      </c>
      <c r="E455" s="13" t="s">
        <v>292</v>
      </c>
      <c r="F455" s="13" t="s">
        <v>26</v>
      </c>
      <c r="G455" s="23">
        <f>695852.52-23195</f>
        <v>672657.52</v>
      </c>
      <c r="H455" s="23">
        <v>723686.62</v>
      </c>
      <c r="I455" s="23">
        <v>723686.62</v>
      </c>
      <c r="J455" s="1" t="s">
        <v>309</v>
      </c>
    </row>
    <row r="456" spans="1:12">
      <c r="A456" s="12" t="s">
        <v>37</v>
      </c>
      <c r="B456" s="13" t="s">
        <v>290</v>
      </c>
      <c r="C456" s="13" t="s">
        <v>19</v>
      </c>
      <c r="D456" s="13" t="s">
        <v>100</v>
      </c>
      <c r="E456" s="13" t="s">
        <v>292</v>
      </c>
      <c r="F456" s="13" t="s">
        <v>38</v>
      </c>
      <c r="G456" s="23">
        <v>112000</v>
      </c>
      <c r="H456" s="23">
        <v>138900</v>
      </c>
      <c r="I456" s="23">
        <v>138900</v>
      </c>
    </row>
    <row r="457" spans="1:12" ht="90" customHeight="1">
      <c r="A457" s="12" t="s">
        <v>425</v>
      </c>
      <c r="B457" s="63" t="s">
        <v>290</v>
      </c>
      <c r="C457" s="63" t="s">
        <v>19</v>
      </c>
      <c r="D457" s="63" t="s">
        <v>100</v>
      </c>
      <c r="E457" s="63"/>
      <c r="F457" s="63"/>
      <c r="G457" s="51">
        <f>G458+G459</f>
        <v>38291.61</v>
      </c>
      <c r="H457" s="23">
        <v>0</v>
      </c>
      <c r="I457" s="23">
        <v>0</v>
      </c>
    </row>
    <row r="458" spans="1:12" ht="28.5" customHeight="1">
      <c r="A458" s="12" t="s">
        <v>23</v>
      </c>
      <c r="B458" s="63" t="s">
        <v>290</v>
      </c>
      <c r="C458" s="63" t="s">
        <v>19</v>
      </c>
      <c r="D458" s="63" t="s">
        <v>100</v>
      </c>
      <c r="E458" s="63" t="s">
        <v>426</v>
      </c>
      <c r="F458" s="63" t="s">
        <v>24</v>
      </c>
      <c r="G458" s="23">
        <v>29409.84</v>
      </c>
      <c r="H458" s="23">
        <v>0</v>
      </c>
      <c r="I458" s="23">
        <v>0</v>
      </c>
    </row>
    <row r="459" spans="1:12" ht="41.25" customHeight="1">
      <c r="A459" s="12" t="s">
        <v>25</v>
      </c>
      <c r="B459" s="63" t="s">
        <v>290</v>
      </c>
      <c r="C459" s="63" t="s">
        <v>19</v>
      </c>
      <c r="D459" s="63" t="s">
        <v>100</v>
      </c>
      <c r="E459" s="63" t="s">
        <v>426</v>
      </c>
      <c r="F459" s="63" t="s">
        <v>26</v>
      </c>
      <c r="G459" s="23">
        <v>8881.77</v>
      </c>
      <c r="H459" s="23">
        <v>0</v>
      </c>
      <c r="I459" s="23">
        <v>0</v>
      </c>
    </row>
    <row r="460" spans="1:12" ht="87.75" customHeight="1">
      <c r="A460" s="84" t="s">
        <v>457</v>
      </c>
      <c r="B460" s="63" t="s">
        <v>290</v>
      </c>
      <c r="C460" s="63" t="s">
        <v>19</v>
      </c>
      <c r="D460" s="63" t="s">
        <v>100</v>
      </c>
      <c r="E460" s="63" t="s">
        <v>456</v>
      </c>
      <c r="F460" s="63"/>
      <c r="G460" s="51">
        <f>G461+G462</f>
        <v>4542.42</v>
      </c>
      <c r="H460" s="23">
        <v>0</v>
      </c>
      <c r="I460" s="23">
        <v>0</v>
      </c>
    </row>
    <row r="461" spans="1:12" ht="27" customHeight="1">
      <c r="A461" s="12" t="s">
        <v>23</v>
      </c>
      <c r="B461" s="63" t="s">
        <v>290</v>
      </c>
      <c r="C461" s="63" t="s">
        <v>19</v>
      </c>
      <c r="D461" s="63" t="s">
        <v>100</v>
      </c>
      <c r="E461" s="63" t="s">
        <v>456</v>
      </c>
      <c r="F461" s="63" t="s">
        <v>24</v>
      </c>
      <c r="G461" s="23">
        <v>3488.8</v>
      </c>
      <c r="H461" s="23">
        <v>0</v>
      </c>
      <c r="I461" s="23">
        <v>0</v>
      </c>
    </row>
    <row r="462" spans="1:12" ht="41.25" customHeight="1">
      <c r="A462" s="12" t="s">
        <v>25</v>
      </c>
      <c r="B462" s="63" t="s">
        <v>290</v>
      </c>
      <c r="C462" s="63" t="s">
        <v>19</v>
      </c>
      <c r="D462" s="63" t="s">
        <v>100</v>
      </c>
      <c r="E462" s="63" t="s">
        <v>456</v>
      </c>
      <c r="F462" s="63" t="s">
        <v>26</v>
      </c>
      <c r="G462" s="23">
        <v>1053.6199999999999</v>
      </c>
      <c r="H462" s="23">
        <v>0</v>
      </c>
      <c r="I462" s="23">
        <v>0</v>
      </c>
    </row>
    <row r="463" spans="1:12">
      <c r="A463" s="12" t="s">
        <v>45</v>
      </c>
      <c r="B463" s="13" t="s">
        <v>290</v>
      </c>
      <c r="C463" s="13" t="s">
        <v>19</v>
      </c>
      <c r="D463" s="13" t="s">
        <v>46</v>
      </c>
      <c r="E463" s="13"/>
      <c r="F463" s="13"/>
      <c r="G463" s="51">
        <f>G464</f>
        <v>6000</v>
      </c>
      <c r="H463" s="51">
        <f>H464</f>
        <v>0</v>
      </c>
      <c r="I463" s="51">
        <f>I464</f>
        <v>0</v>
      </c>
      <c r="L463" s="1" t="s">
        <v>309</v>
      </c>
    </row>
    <row r="464" spans="1:12" ht="25.5">
      <c r="A464" s="12" t="s">
        <v>291</v>
      </c>
      <c r="B464" s="13" t="s">
        <v>290</v>
      </c>
      <c r="C464" s="13" t="s">
        <v>19</v>
      </c>
      <c r="D464" s="13" t="s">
        <v>46</v>
      </c>
      <c r="E464" s="13" t="s">
        <v>292</v>
      </c>
      <c r="F464" s="13"/>
      <c r="G464" s="23">
        <f>G465</f>
        <v>6000</v>
      </c>
      <c r="H464" s="23">
        <v>0</v>
      </c>
      <c r="I464" s="23">
        <v>0</v>
      </c>
    </row>
    <row r="465" spans="1:11">
      <c r="A465" s="12" t="s">
        <v>37</v>
      </c>
      <c r="B465" s="13" t="s">
        <v>290</v>
      </c>
      <c r="C465" s="13" t="s">
        <v>19</v>
      </c>
      <c r="D465" s="13" t="s">
        <v>46</v>
      </c>
      <c r="E465" s="13" t="s">
        <v>292</v>
      </c>
      <c r="F465" s="13" t="s">
        <v>38</v>
      </c>
      <c r="G465" s="23">
        <v>6000</v>
      </c>
      <c r="H465" s="23">
        <v>0</v>
      </c>
      <c r="I465" s="23">
        <v>0</v>
      </c>
      <c r="K465" s="1" t="s">
        <v>309</v>
      </c>
    </row>
    <row r="466" spans="1:11" ht="12.75" customHeight="1">
      <c r="A466" s="67" t="s">
        <v>293</v>
      </c>
      <c r="B466" s="68"/>
      <c r="C466" s="68"/>
      <c r="D466" s="68"/>
      <c r="E466" s="68"/>
      <c r="F466" s="68"/>
      <c r="G466" s="69">
        <f>G13+G414+G434+G451</f>
        <v>862987531.74000001</v>
      </c>
      <c r="H466" s="69">
        <f>H13+H414+H434+H451</f>
        <v>401054500</v>
      </c>
      <c r="I466" s="69">
        <f>I13+I414+I434+I451</f>
        <v>367057000</v>
      </c>
    </row>
    <row r="467" spans="1:11" ht="4.5" customHeight="1">
      <c r="A467" s="70"/>
      <c r="B467" s="70"/>
      <c r="C467" s="70"/>
      <c r="D467" s="70"/>
      <c r="E467" s="70"/>
      <c r="F467" s="70"/>
      <c r="G467" s="81"/>
      <c r="H467" s="70"/>
      <c r="I467" s="70"/>
    </row>
    <row r="468" spans="1:11" ht="12" customHeight="1">
      <c r="A468" s="98" t="s">
        <v>305</v>
      </c>
      <c r="B468" s="99"/>
      <c r="C468" s="99"/>
      <c r="D468" s="99"/>
      <c r="E468" s="99"/>
      <c r="F468" s="99"/>
      <c r="G468" s="99"/>
      <c r="H468" s="99"/>
      <c r="I468" s="99"/>
    </row>
    <row r="469" spans="1:11" ht="12.75" customHeight="1">
      <c r="A469" s="100" t="s">
        <v>8</v>
      </c>
      <c r="B469" s="100" t="s">
        <v>294</v>
      </c>
      <c r="C469" s="101"/>
      <c r="D469" s="101"/>
      <c r="E469" s="101"/>
      <c r="F469" s="101"/>
      <c r="G469" s="100" t="s">
        <v>10</v>
      </c>
      <c r="H469" s="101"/>
      <c r="I469" s="101"/>
    </row>
    <row r="470" spans="1:11" ht="48" customHeight="1">
      <c r="A470" s="101"/>
      <c r="B470" s="101"/>
      <c r="C470" s="101"/>
      <c r="D470" s="101"/>
      <c r="E470" s="101"/>
      <c r="F470" s="101"/>
      <c r="G470" s="71" t="s">
        <v>15</v>
      </c>
      <c r="H470" s="71" t="s">
        <v>16</v>
      </c>
      <c r="I470" s="71" t="s">
        <v>314</v>
      </c>
      <c r="K470" s="1" t="s">
        <v>309</v>
      </c>
    </row>
    <row r="471" spans="1:11" ht="12.75" customHeight="1">
      <c r="A471" s="71">
        <v>1</v>
      </c>
      <c r="B471" s="100">
        <v>2</v>
      </c>
      <c r="C471" s="101"/>
      <c r="D471" s="101"/>
      <c r="E471" s="101"/>
      <c r="F471" s="101"/>
      <c r="G471" s="71">
        <v>3</v>
      </c>
      <c r="H471" s="71">
        <v>4</v>
      </c>
      <c r="I471" s="71">
        <v>5</v>
      </c>
    </row>
    <row r="472" spans="1:11" ht="25.5">
      <c r="A472" s="59" t="s">
        <v>295</v>
      </c>
      <c r="B472" s="102" t="s">
        <v>296</v>
      </c>
      <c r="C472" s="103"/>
      <c r="D472" s="103"/>
      <c r="E472" s="103"/>
      <c r="F472" s="103"/>
      <c r="G472" s="52">
        <v>-854549807.70000005</v>
      </c>
      <c r="H472" s="52">
        <v>-401054500</v>
      </c>
      <c r="I472" s="52">
        <v>-367057000</v>
      </c>
    </row>
    <row r="473" spans="1:11" ht="25.5">
      <c r="A473" s="59" t="s">
        <v>297</v>
      </c>
      <c r="B473" s="102" t="s">
        <v>298</v>
      </c>
      <c r="C473" s="103"/>
      <c r="D473" s="103"/>
      <c r="E473" s="103"/>
      <c r="F473" s="103"/>
      <c r="G473" s="52">
        <v>862987531.74000001</v>
      </c>
      <c r="H473" s="52">
        <v>401054500</v>
      </c>
      <c r="I473" s="52">
        <v>367057000</v>
      </c>
      <c r="K473" s="1" t="s">
        <v>309</v>
      </c>
    </row>
    <row r="474" spans="1:11" ht="12" customHeight="1">
      <c r="A474" s="14" t="s">
        <v>293</v>
      </c>
      <c r="B474" s="104"/>
      <c r="C474" s="105"/>
      <c r="D474" s="105"/>
      <c r="E474" s="105"/>
      <c r="F474" s="105"/>
      <c r="G474" s="37">
        <f>G473+G472</f>
        <v>8437724.0399999619</v>
      </c>
      <c r="H474" s="37">
        <f>H473+H472</f>
        <v>0</v>
      </c>
      <c r="I474" s="37">
        <f>I473+I472</f>
        <v>0</v>
      </c>
    </row>
    <row r="475" spans="1:11" ht="9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11" ht="14.25" customHeight="1">
      <c r="A476" s="2" t="s">
        <v>311</v>
      </c>
      <c r="B476" s="2" t="s">
        <v>299</v>
      </c>
      <c r="C476" s="106" t="s">
        <v>310</v>
      </c>
      <c r="D476" s="107"/>
      <c r="E476" s="107"/>
      <c r="F476" s="108" t="s">
        <v>300</v>
      </c>
      <c r="G476" s="107"/>
      <c r="H476" s="2"/>
      <c r="I476" s="2"/>
    </row>
    <row r="477" spans="1:11" ht="12.75" customHeight="1">
      <c r="A477" s="15" t="s">
        <v>301</v>
      </c>
      <c r="B477" s="15" t="s">
        <v>302</v>
      </c>
      <c r="C477" s="109" t="s">
        <v>303</v>
      </c>
      <c r="D477" s="110"/>
      <c r="E477" s="110"/>
      <c r="F477" s="16" t="s">
        <v>304</v>
      </c>
      <c r="G477" s="7"/>
      <c r="H477" s="2"/>
      <c r="I477" s="2"/>
    </row>
    <row r="478" spans="1:11" ht="12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11" ht="12.75" customHeight="1">
      <c r="A479" s="2"/>
      <c r="B479" s="2"/>
      <c r="C479" s="2"/>
      <c r="D479" s="2"/>
      <c r="E479" s="2"/>
      <c r="F479" s="2"/>
      <c r="G479" s="2"/>
      <c r="H479" s="2"/>
      <c r="I479" s="2"/>
    </row>
  </sheetData>
  <mergeCells count="21">
    <mergeCell ref="B473:F473"/>
    <mergeCell ref="B474:F474"/>
    <mergeCell ref="C476:E476"/>
    <mergeCell ref="F476:G476"/>
    <mergeCell ref="C477:E477"/>
    <mergeCell ref="A469:A470"/>
    <mergeCell ref="B469:F470"/>
    <mergeCell ref="G469:I469"/>
    <mergeCell ref="B471:F471"/>
    <mergeCell ref="B472:F472"/>
    <mergeCell ref="A9:I9"/>
    <mergeCell ref="A10:A11"/>
    <mergeCell ref="B10:F10"/>
    <mergeCell ref="G10:I10"/>
    <mergeCell ref="A468:I468"/>
    <mergeCell ref="E1:I1"/>
    <mergeCell ref="B5:F5"/>
    <mergeCell ref="G5:H5"/>
    <mergeCell ref="G7:H7"/>
    <mergeCell ref="A2:I2"/>
    <mergeCell ref="A3:I3"/>
  </mergeCells>
  <pageMargins left="0.70866141732283472" right="0.51181102362204722" top="0.74803149606299213" bottom="0.74803149606299213" header="0.31496062992125984" footer="0.31496062992125984"/>
  <pageSetup paperSize="9" scale="5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2023-10-02T05:12:59Z</cp:lastPrinted>
  <dcterms:created xsi:type="dcterms:W3CDTF">2021-08-02T06:48:54Z</dcterms:created>
  <dcterms:modified xsi:type="dcterms:W3CDTF">2023-10-23T07:00:25Z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